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120" yWindow="90" windowWidth="15480" windowHeight="11640" tabRatio="742" activeTab="2"/>
  </bookViews>
  <sheets>
    <sheet name="récap pour vérification CE" sheetId="2" r:id="rId1"/>
    <sheet name="Etudes générales" sheetId="5" r:id="rId2"/>
    <sheet name="Etudes_spécifiques" sheetId="1" r:id="rId3"/>
    <sheet name="E.Générales détaillées Pl-co" sheetId="3" r:id="rId4"/>
  </sheets>
  <definedNames>
    <definedName name="_xlnm._FilterDatabase" localSheetId="3" hidden="1">'E.Générales détaillées Pl-co'!$A$1:$DI$105</definedName>
    <definedName name="Etudes_spécifiques">Etudes_spécifiques!$A$1:$BJ$214</definedName>
    <definedName name="_xlnm.Print_Titles" localSheetId="3">'E.Générales détaillées Pl-co'!$1:$1</definedName>
    <definedName name="_xlnm.Print_Titles" localSheetId="2">Etudes_spécifiques!$1:$1</definedName>
    <definedName name="_xlnm.Print_Area" localSheetId="3">'E.Générales détaillées Pl-co'!$A:$D</definedName>
  </definedNames>
  <calcPr calcId="145621" iterateCount="1"/>
  <pivotCaches>
    <pivotCache cacheId="0" r:id="rId5"/>
  </pivotCaches>
</workbook>
</file>

<file path=xl/calcChain.xml><?xml version="1.0" encoding="utf-8"?>
<calcChain xmlns="http://schemas.openxmlformats.org/spreadsheetml/2006/main">
  <c r="W8" i="1" l="1"/>
  <c r="M18" i="5"/>
  <c r="AG18" i="5"/>
  <c r="O3" i="3" l="1"/>
  <c r="Q86" i="3" l="1"/>
  <c r="V34" i="3" l="1"/>
  <c r="P20" i="5"/>
  <c r="R162" i="1" l="1"/>
  <c r="R161" i="1"/>
  <c r="R8" i="1" l="1"/>
  <c r="R178" i="1" l="1"/>
  <c r="BL178" i="1"/>
  <c r="AE19" i="5" l="1"/>
  <c r="AD19" i="5"/>
  <c r="AC19" i="5"/>
  <c r="AB19" i="5"/>
  <c r="Z19" i="5"/>
  <c r="AA19" i="5"/>
  <c r="Y19" i="5"/>
  <c r="X19" i="5"/>
  <c r="W19" i="5"/>
  <c r="V19" i="5"/>
  <c r="U19" i="5"/>
  <c r="T19" i="5"/>
  <c r="S19" i="5"/>
  <c r="R19" i="5"/>
  <c r="Q19" i="5"/>
  <c r="P19" i="5"/>
  <c r="AI19" i="5"/>
  <c r="M96" i="3"/>
  <c r="M97" i="3"/>
  <c r="M98" i="3"/>
  <c r="M99" i="3"/>
  <c r="M100" i="3"/>
  <c r="M101" i="3"/>
  <c r="M102" i="3"/>
  <c r="M103" i="3"/>
  <c r="M104" i="3"/>
  <c r="M105" i="3"/>
  <c r="M95" i="3"/>
  <c r="T76" i="3"/>
  <c r="K76" i="3"/>
  <c r="O76" i="3" s="1"/>
  <c r="H14" i="5"/>
  <c r="I14" i="5" s="1"/>
  <c r="AZ35" i="3"/>
  <c r="AZ52" i="3"/>
  <c r="AZ69" i="3"/>
  <c r="AZ70" i="3"/>
  <c r="AZ71" i="3"/>
  <c r="AZ72" i="3"/>
  <c r="AZ73" i="3"/>
  <c r="AZ74" i="3"/>
  <c r="AZ75" i="3"/>
  <c r="AZ76" i="3"/>
  <c r="AZ77" i="3"/>
  <c r="AZ81" i="3"/>
  <c r="AZ88" i="3"/>
  <c r="AZ92" i="3"/>
  <c r="BA4" i="3"/>
  <c r="BA12" i="3"/>
  <c r="BA13" i="3"/>
  <c r="BA14" i="3"/>
  <c r="BA15" i="3"/>
  <c r="BA16" i="3"/>
  <c r="BA17" i="3"/>
  <c r="BA18" i="3"/>
  <c r="BA19" i="3"/>
  <c r="BA20" i="3"/>
  <c r="BA21" i="3"/>
  <c r="BA22" i="3"/>
  <c r="BA23" i="3"/>
  <c r="BA24" i="3"/>
  <c r="BA25" i="3"/>
  <c r="BA26" i="3"/>
  <c r="BA27" i="3"/>
  <c r="BA30" i="3"/>
  <c r="BA35" i="3"/>
  <c r="BA39" i="3"/>
  <c r="BA41" i="3"/>
  <c r="BA42" i="3"/>
  <c r="BA45" i="3"/>
  <c r="BA47" i="3"/>
  <c r="BA49" i="3"/>
  <c r="BA51" i="3"/>
  <c r="BA52" i="3"/>
  <c r="BA53" i="3"/>
  <c r="BA54" i="3"/>
  <c r="BA55" i="3"/>
  <c r="BA58" i="3"/>
  <c r="BA60" i="3"/>
  <c r="BA61" i="3"/>
  <c r="BA62" i="3"/>
  <c r="BA63" i="3"/>
  <c r="BA64" i="3"/>
  <c r="BA65" i="3"/>
  <c r="BA66" i="3"/>
  <c r="BA69" i="3"/>
  <c r="BA70" i="3"/>
  <c r="BA71" i="3"/>
  <c r="BA73" i="3"/>
  <c r="BA81" i="3"/>
  <c r="BA82" i="3"/>
  <c r="BA83" i="3"/>
  <c r="BA90" i="3"/>
  <c r="W31" i="3"/>
  <c r="T31" i="3"/>
  <c r="AZ34" i="3"/>
  <c r="M38" i="3"/>
  <c r="M31" i="3"/>
  <c r="M32" i="3"/>
  <c r="M33" i="3"/>
  <c r="N7" i="5"/>
  <c r="J7" i="5"/>
  <c r="I7" i="5"/>
  <c r="AM106" i="3"/>
  <c r="AL106" i="3"/>
  <c r="AK106" i="3"/>
  <c r="AJ106" i="3"/>
  <c r="AI106" i="3"/>
  <c r="AH106" i="3"/>
  <c r="AG106" i="3"/>
  <c r="AF106" i="3"/>
  <c r="AE106" i="3"/>
  <c r="AD106" i="3"/>
  <c r="AC106" i="3"/>
  <c r="AB106" i="3"/>
  <c r="Z106" i="3"/>
  <c r="Y106" i="3"/>
  <c r="X106" i="3"/>
  <c r="AF5" i="5"/>
  <c r="I5" i="5"/>
  <c r="N76" i="3" l="1"/>
  <c r="J14" i="5"/>
  <c r="K14" i="5" l="1"/>
  <c r="K19" i="5" s="1"/>
  <c r="X215" i="1" l="1"/>
  <c r="W215" i="1"/>
  <c r="V215" i="1"/>
  <c r="BK213" i="1"/>
  <c r="AW215" i="1"/>
  <c r="AU215" i="1"/>
  <c r="AA215" i="1"/>
  <c r="AP215" i="1"/>
  <c r="BE215" i="1"/>
  <c r="BD215" i="1"/>
  <c r="BC215" i="1"/>
  <c r="BB215" i="1"/>
  <c r="BA215" i="1"/>
  <c r="AZ215" i="1"/>
  <c r="AY215" i="1"/>
  <c r="BF215" i="1"/>
  <c r="Q114" i="1"/>
  <c r="R114" i="1" s="1"/>
  <c r="BL43" i="1"/>
  <c r="BL40" i="1"/>
  <c r="BL41" i="1"/>
  <c r="BL42" i="1"/>
  <c r="BL39" i="1"/>
  <c r="BL14" i="1"/>
  <c r="BL15" i="1"/>
  <c r="BL59" i="1"/>
  <c r="BL60" i="1"/>
  <c r="BL62" i="1"/>
  <c r="BL63" i="1"/>
  <c r="BL61" i="1"/>
  <c r="BL77" i="1"/>
  <c r="BL78" i="1"/>
  <c r="BL79" i="1"/>
  <c r="BL80" i="1"/>
  <c r="BL81" i="1"/>
  <c r="BL82" i="1"/>
  <c r="BL83" i="1"/>
  <c r="BL84" i="1"/>
  <c r="BL85" i="1"/>
  <c r="BL86" i="1"/>
  <c r="BL65" i="1"/>
  <c r="BL66" i="1"/>
  <c r="BL67" i="1"/>
  <c r="BL68" i="1"/>
  <c r="BL69" i="1"/>
  <c r="BL70" i="1"/>
  <c r="BL71" i="1"/>
  <c r="BL72" i="1"/>
  <c r="BL73" i="1"/>
  <c r="BL74" i="1"/>
  <c r="BL76" i="1"/>
  <c r="BL87" i="1"/>
  <c r="BL88" i="1"/>
  <c r="BL89" i="1"/>
  <c r="BL90" i="1"/>
  <c r="BL91" i="1"/>
  <c r="BL92" i="1"/>
  <c r="BL93" i="1"/>
  <c r="BL157" i="1"/>
  <c r="BL34" i="1"/>
  <c r="BL35" i="1"/>
  <c r="BL37" i="1"/>
  <c r="BL44" i="1"/>
  <c r="BL45" i="1"/>
  <c r="BL46" i="1"/>
  <c r="BL47" i="1"/>
  <c r="BL48" i="1"/>
  <c r="BL54" i="1"/>
  <c r="BL55" i="1"/>
  <c r="BL56" i="1"/>
  <c r="BL57" i="1"/>
  <c r="BL94" i="1"/>
  <c r="BL95" i="1"/>
  <c r="BL96" i="1"/>
  <c r="BL97" i="1"/>
  <c r="BL98" i="1"/>
  <c r="BL99" i="1"/>
  <c r="BL100" i="1"/>
  <c r="BL101" i="1"/>
  <c r="BL104" i="1"/>
  <c r="BL105" i="1"/>
  <c r="BL106" i="1"/>
  <c r="BL107" i="1"/>
  <c r="BL108" i="1"/>
  <c r="BL109" i="1"/>
  <c r="BL110" i="1"/>
  <c r="BL111" i="1"/>
  <c r="BL112" i="1"/>
  <c r="BL115" i="1"/>
  <c r="BL116" i="1"/>
  <c r="BL117" i="1"/>
  <c r="BL118" i="1"/>
  <c r="BL119" i="1"/>
  <c r="BL120" i="1"/>
  <c r="BL121" i="1"/>
  <c r="BL122" i="1"/>
  <c r="BL123" i="1"/>
  <c r="BL124" i="1"/>
  <c r="BL125" i="1"/>
  <c r="BL134" i="1"/>
  <c r="BL135" i="1"/>
  <c r="BL136" i="1"/>
  <c r="BL126" i="1"/>
  <c r="BL127" i="1"/>
  <c r="BL128" i="1"/>
  <c r="BL129" i="1"/>
  <c r="BL131" i="1"/>
  <c r="BL132" i="1"/>
  <c r="BL133" i="1"/>
  <c r="BL130" i="1"/>
  <c r="BL137" i="1"/>
  <c r="BL138" i="1"/>
  <c r="BL139" i="1"/>
  <c r="BL140" i="1"/>
  <c r="BL141" i="1"/>
  <c r="BL142" i="1"/>
  <c r="BL143" i="1"/>
  <c r="BL144" i="1"/>
  <c r="BL145" i="1"/>
  <c r="BL146" i="1"/>
  <c r="BL147" i="1"/>
  <c r="BL148" i="1"/>
  <c r="BL149" i="1"/>
  <c r="BL150" i="1"/>
  <c r="BL151" i="1"/>
  <c r="BL152" i="1"/>
  <c r="BL153" i="1"/>
  <c r="BL154" i="1"/>
  <c r="BL155" i="1"/>
  <c r="BL156" i="1"/>
  <c r="BL167" i="1"/>
  <c r="BL168" i="1"/>
  <c r="BL169" i="1"/>
  <c r="BL170" i="1"/>
  <c r="BL171" i="1"/>
  <c r="BL172" i="1"/>
  <c r="BL173" i="1"/>
  <c r="BL214" i="1"/>
  <c r="BL158" i="1"/>
  <c r="BL159" i="1"/>
  <c r="BL164" i="1"/>
  <c r="BL165" i="1"/>
  <c r="BL160" i="1"/>
  <c r="BL161" i="1"/>
  <c r="BL162" i="1"/>
  <c r="BL163" i="1"/>
  <c r="BL166" i="1"/>
  <c r="BL174" i="1"/>
  <c r="BL175" i="1"/>
  <c r="BL176" i="1"/>
  <c r="BL177" i="1"/>
  <c r="BL179" i="1"/>
  <c r="BL180" i="1"/>
  <c r="BL181" i="1"/>
  <c r="BL182" i="1"/>
  <c r="BL183" i="1"/>
  <c r="BL184" i="1"/>
  <c r="BL185" i="1"/>
  <c r="BL186" i="1"/>
  <c r="BL187" i="1"/>
  <c r="BL188" i="1"/>
  <c r="BL189" i="1"/>
  <c r="BL190" i="1"/>
  <c r="BL191" i="1"/>
  <c r="BL192" i="1"/>
  <c r="BL193" i="1"/>
  <c r="BL194" i="1"/>
  <c r="BL195" i="1"/>
  <c r="BL196" i="1"/>
  <c r="BL197" i="1"/>
  <c r="BL198" i="1"/>
  <c r="BL199" i="1"/>
  <c r="BL200" i="1"/>
  <c r="BL201" i="1"/>
  <c r="BL202" i="1"/>
  <c r="BL203" i="1"/>
  <c r="BL204" i="1"/>
  <c r="BL205" i="1"/>
  <c r="BL206" i="1"/>
  <c r="BL207" i="1"/>
  <c r="BL208" i="1"/>
  <c r="BL209" i="1"/>
  <c r="BL210" i="1"/>
  <c r="BL212" i="1"/>
  <c r="AY216" i="1" l="1"/>
  <c r="S114" i="1"/>
  <c r="BL114" i="1" s="1"/>
  <c r="AV215" i="1"/>
  <c r="BK2" i="1"/>
  <c r="BK3" i="1"/>
  <c r="BK4" i="1"/>
  <c r="BK5" i="1"/>
  <c r="BK6" i="1"/>
  <c r="BK7" i="1"/>
  <c r="BK9" i="1"/>
  <c r="BK10" i="1"/>
  <c r="BK11" i="1"/>
  <c r="BK12" i="1"/>
  <c r="BK13" i="1"/>
  <c r="BK14" i="1"/>
  <c r="BK15" i="1"/>
  <c r="BK16" i="1"/>
  <c r="BK17" i="1"/>
  <c r="BK18" i="1"/>
  <c r="BK19" i="1"/>
  <c r="BK20" i="1"/>
  <c r="BK21" i="1"/>
  <c r="BK22" i="1"/>
  <c r="BK23" i="1"/>
  <c r="BK24" i="1"/>
  <c r="BK25" i="1"/>
  <c r="BK26" i="1"/>
  <c r="BK27" i="1"/>
  <c r="BK28" i="1"/>
  <c r="BK29" i="1"/>
  <c r="BK30" i="1"/>
  <c r="BK32" i="1"/>
  <c r="BK33" i="1"/>
  <c r="BK59" i="1"/>
  <c r="BK60" i="1"/>
  <c r="BK62" i="1"/>
  <c r="BK63" i="1"/>
  <c r="BK61" i="1"/>
  <c r="BK77" i="1"/>
  <c r="BK78" i="1"/>
  <c r="BK79" i="1"/>
  <c r="BK80" i="1"/>
  <c r="BK81" i="1"/>
  <c r="BK82" i="1"/>
  <c r="BK83" i="1"/>
  <c r="BK84" i="1"/>
  <c r="BK85" i="1"/>
  <c r="BK86" i="1"/>
  <c r="BK64" i="1"/>
  <c r="BK65" i="1"/>
  <c r="BK66" i="1"/>
  <c r="BK67" i="1"/>
  <c r="BK68" i="1"/>
  <c r="BK69" i="1"/>
  <c r="BK70" i="1"/>
  <c r="BK71" i="1"/>
  <c r="BK72" i="1"/>
  <c r="BK73" i="1"/>
  <c r="BK74" i="1"/>
  <c r="BK75" i="1"/>
  <c r="BK76" i="1"/>
  <c r="BK87" i="1"/>
  <c r="BK88" i="1"/>
  <c r="BK89" i="1"/>
  <c r="BK90" i="1"/>
  <c r="BK91" i="1"/>
  <c r="BK92" i="1"/>
  <c r="BK93" i="1"/>
  <c r="BK157" i="1"/>
  <c r="BK34" i="1"/>
  <c r="BK35" i="1"/>
  <c r="BK36" i="1"/>
  <c r="BK37" i="1"/>
  <c r="BK38" i="1"/>
  <c r="BK39" i="1"/>
  <c r="BK40" i="1"/>
  <c r="BK41" i="1"/>
  <c r="BK42" i="1"/>
  <c r="BK43" i="1"/>
  <c r="BK44" i="1"/>
  <c r="BK45" i="1"/>
  <c r="BK46" i="1"/>
  <c r="BK47" i="1"/>
  <c r="BK48" i="1"/>
  <c r="BK49" i="1"/>
  <c r="BK50" i="1"/>
  <c r="BK52" i="1"/>
  <c r="BK53" i="1"/>
  <c r="BK51" i="1"/>
  <c r="BK54" i="1"/>
  <c r="BK55" i="1"/>
  <c r="BK56" i="1"/>
  <c r="BK57" i="1"/>
  <c r="BK58" i="1"/>
  <c r="BK94" i="1"/>
  <c r="BK95" i="1"/>
  <c r="BK96" i="1"/>
  <c r="BK97" i="1"/>
  <c r="BK98" i="1"/>
  <c r="BK99" i="1"/>
  <c r="BK100" i="1"/>
  <c r="BK101" i="1"/>
  <c r="BK102" i="1"/>
  <c r="BK103" i="1"/>
  <c r="BK104" i="1"/>
  <c r="BK105" i="1"/>
  <c r="BK106" i="1"/>
  <c r="BK107" i="1"/>
  <c r="BK108" i="1"/>
  <c r="BK109" i="1"/>
  <c r="BK110" i="1"/>
  <c r="BK111" i="1"/>
  <c r="BK112" i="1"/>
  <c r="BK114" i="1"/>
  <c r="BK115" i="1"/>
  <c r="BK116" i="1"/>
  <c r="BK117" i="1"/>
  <c r="BK118" i="1"/>
  <c r="BK119" i="1"/>
  <c r="BK120" i="1"/>
  <c r="BK121" i="1"/>
  <c r="BK122" i="1"/>
  <c r="BK123" i="1"/>
  <c r="BK124" i="1"/>
  <c r="BK125" i="1"/>
  <c r="BK134" i="1"/>
  <c r="BK135" i="1"/>
  <c r="BK136" i="1"/>
  <c r="BK126" i="1"/>
  <c r="BK127" i="1"/>
  <c r="BK128" i="1"/>
  <c r="BK129" i="1"/>
  <c r="BK131" i="1"/>
  <c r="BK132" i="1"/>
  <c r="BK133" i="1"/>
  <c r="BK130" i="1"/>
  <c r="BK137" i="1"/>
  <c r="BK138" i="1"/>
  <c r="BK139" i="1"/>
  <c r="BK140" i="1"/>
  <c r="BK141" i="1"/>
  <c r="BK142" i="1"/>
  <c r="BK143" i="1"/>
  <c r="BK144" i="1"/>
  <c r="BK145" i="1"/>
  <c r="BK146" i="1"/>
  <c r="BK147" i="1"/>
  <c r="BK148" i="1"/>
  <c r="BK149" i="1"/>
  <c r="BK150" i="1"/>
  <c r="BK151" i="1"/>
  <c r="BK152" i="1"/>
  <c r="BK153" i="1"/>
  <c r="BK154" i="1"/>
  <c r="BK155" i="1"/>
  <c r="BK156" i="1"/>
  <c r="BK167" i="1"/>
  <c r="BK168" i="1"/>
  <c r="BK169" i="1"/>
  <c r="BK170" i="1"/>
  <c r="BK171" i="1"/>
  <c r="BK172" i="1"/>
  <c r="BK173" i="1"/>
  <c r="BK214" i="1"/>
  <c r="BK158" i="1"/>
  <c r="BK159" i="1"/>
  <c r="BK164" i="1"/>
  <c r="BK165" i="1"/>
  <c r="BK160" i="1"/>
  <c r="BK161" i="1"/>
  <c r="BK162" i="1"/>
  <c r="BK163" i="1"/>
  <c r="BK166" i="1"/>
  <c r="BK174" i="1"/>
  <c r="BK175" i="1"/>
  <c r="BK176" i="1"/>
  <c r="BK177" i="1"/>
  <c r="BK178" i="1"/>
  <c r="BK179" i="1"/>
  <c r="BK180" i="1"/>
  <c r="BK181" i="1"/>
  <c r="BK182" i="1"/>
  <c r="BK183" i="1"/>
  <c r="BK184" i="1"/>
  <c r="BK185" i="1"/>
  <c r="BK186" i="1"/>
  <c r="BK187" i="1"/>
  <c r="BK188" i="1"/>
  <c r="BK189" i="1"/>
  <c r="BK190" i="1"/>
  <c r="BK191" i="1"/>
  <c r="BK192" i="1"/>
  <c r="BK193" i="1"/>
  <c r="BK194" i="1"/>
  <c r="BK195" i="1"/>
  <c r="BK196" i="1"/>
  <c r="BK197" i="1"/>
  <c r="BK198" i="1"/>
  <c r="BK199" i="1"/>
  <c r="BK200" i="1"/>
  <c r="BK201" i="1"/>
  <c r="BK202" i="1"/>
  <c r="BK203" i="1"/>
  <c r="BK204" i="1"/>
  <c r="BK205" i="1"/>
  <c r="BK206" i="1"/>
  <c r="BK207" i="1"/>
  <c r="BK208" i="1"/>
  <c r="BK209" i="1"/>
  <c r="BK210" i="1"/>
  <c r="BK211" i="1"/>
  <c r="BK212" i="1"/>
  <c r="C36" i="2"/>
  <c r="C35" i="2"/>
  <c r="C39" i="2"/>
  <c r="G20" i="2"/>
  <c r="D33" i="2"/>
  <c r="D39" i="2"/>
  <c r="C31" i="2"/>
  <c r="G6" i="2"/>
  <c r="BK8" i="1" l="1"/>
  <c r="T88" i="3"/>
  <c r="C33" i="2"/>
  <c r="N4" i="5" l="1"/>
  <c r="AK19" i="5"/>
  <c r="AG19" i="5"/>
  <c r="AF19" i="5"/>
  <c r="O19" i="5"/>
  <c r="N19" i="5"/>
  <c r="M19" i="5"/>
  <c r="J19" i="5"/>
  <c r="I19" i="5"/>
  <c r="H19" i="5"/>
  <c r="T72" i="3" l="1"/>
  <c r="BA72" i="3" s="1"/>
  <c r="AA27" i="3" l="1"/>
  <c r="AZ27" i="3" s="1"/>
  <c r="Q215" i="1" l="1"/>
  <c r="R215" i="1"/>
  <c r="S215" i="1"/>
  <c r="T215" i="1"/>
  <c r="Y215" i="1"/>
  <c r="AB215" i="1"/>
  <c r="AC215" i="1"/>
  <c r="AD215" i="1"/>
  <c r="AE215" i="1"/>
  <c r="AF215" i="1"/>
  <c r="AH215" i="1"/>
  <c r="AI215" i="1"/>
  <c r="AK215" i="1"/>
  <c r="AL215" i="1"/>
  <c r="AM215" i="1"/>
  <c r="AN215" i="1"/>
  <c r="AO215" i="1"/>
  <c r="AS215" i="1"/>
  <c r="AT215" i="1"/>
  <c r="AX215" i="1"/>
  <c r="BJ215" i="1"/>
  <c r="AA15" i="3" l="1"/>
  <c r="AZ15" i="3" s="1"/>
  <c r="AA16" i="3"/>
  <c r="AZ16" i="3" s="1"/>
  <c r="AA17" i="3"/>
  <c r="AZ17" i="3" s="1"/>
  <c r="AA18" i="3"/>
  <c r="AZ18" i="3" s="1"/>
  <c r="AA19" i="3"/>
  <c r="AZ19" i="3" s="1"/>
  <c r="AA20" i="3"/>
  <c r="AZ20" i="3" s="1"/>
  <c r="AA26" i="3"/>
  <c r="AZ26" i="3" s="1"/>
  <c r="AA21" i="3"/>
  <c r="AZ21" i="3" s="1"/>
  <c r="AA22" i="3"/>
  <c r="AZ22" i="3" s="1"/>
  <c r="AA23" i="3"/>
  <c r="AZ23" i="3" s="1"/>
  <c r="AA24" i="3"/>
  <c r="AZ24" i="3" s="1"/>
  <c r="AA25" i="3"/>
  <c r="AZ25" i="3" s="1"/>
  <c r="AA14" i="3"/>
  <c r="AZ14" i="3" s="1"/>
  <c r="AA13" i="3"/>
  <c r="AZ13" i="3" s="1"/>
  <c r="AA12" i="3"/>
  <c r="AZ12" i="3" s="1"/>
  <c r="M76" i="3" l="1"/>
  <c r="K34" i="3"/>
  <c r="O34" i="3" l="1"/>
  <c r="H6" i="2" l="1"/>
  <c r="AG211" i="1" l="1"/>
  <c r="AG215" i="1" s="1"/>
  <c r="AJ211" i="1"/>
  <c r="AJ215" i="1" s="1"/>
  <c r="Z211" i="1"/>
  <c r="BL211" i="1" s="1"/>
  <c r="Z215" i="1" l="1"/>
  <c r="G17" i="2"/>
  <c r="G18" i="2"/>
  <c r="G19" i="2"/>
  <c r="G21" i="2"/>
  <c r="I21" i="2" l="1"/>
  <c r="I17" i="2"/>
  <c r="H17" i="2"/>
  <c r="I11" i="2"/>
  <c r="H7" i="2"/>
  <c r="G10" i="2"/>
  <c r="G7" i="2"/>
  <c r="G9" i="2"/>
  <c r="G12" i="2"/>
  <c r="G8" i="2"/>
  <c r="T32" i="3" l="1"/>
  <c r="V31" i="3"/>
  <c r="W4" i="3"/>
  <c r="AZ4" i="3" s="1"/>
  <c r="W30" i="3"/>
  <c r="AA3" i="3"/>
  <c r="AA7" i="3"/>
  <c r="AA10" i="3"/>
  <c r="AA11" i="3"/>
  <c r="AA30" i="3"/>
  <c r="AA37" i="3"/>
  <c r="AZ37" i="3" s="1"/>
  <c r="AA33" i="3"/>
  <c r="AZ33" i="3" s="1"/>
  <c r="AA38" i="3"/>
  <c r="AZ38" i="3" s="1"/>
  <c r="AA39" i="3"/>
  <c r="AZ39" i="3" s="1"/>
  <c r="AA40" i="3"/>
  <c r="AZ40" i="3" s="1"/>
  <c r="AA41" i="3"/>
  <c r="AZ41" i="3" s="1"/>
  <c r="AA42" i="3"/>
  <c r="AZ42" i="3" s="1"/>
  <c r="AA36" i="3"/>
  <c r="AZ36" i="3" s="1"/>
  <c r="AA44" i="3"/>
  <c r="AZ44" i="3" s="1"/>
  <c r="AA45" i="3"/>
  <c r="AZ45" i="3" s="1"/>
  <c r="AA47" i="3"/>
  <c r="AZ47" i="3" s="1"/>
  <c r="AA48" i="3"/>
  <c r="AZ48" i="3" s="1"/>
  <c r="AA49" i="3"/>
  <c r="AZ49" i="3" s="1"/>
  <c r="AA50" i="3"/>
  <c r="AZ50" i="3" s="1"/>
  <c r="AA51" i="3"/>
  <c r="AZ51" i="3" s="1"/>
  <c r="AA53" i="3"/>
  <c r="AZ53" i="3" s="1"/>
  <c r="AA54" i="3"/>
  <c r="AZ54" i="3" s="1"/>
  <c r="AA55" i="3"/>
  <c r="AZ55" i="3" s="1"/>
  <c r="AA57" i="3"/>
  <c r="AZ57" i="3" s="1"/>
  <c r="AA58" i="3"/>
  <c r="AZ58" i="3" s="1"/>
  <c r="AA60" i="3"/>
  <c r="AZ60" i="3" s="1"/>
  <c r="AA61" i="3"/>
  <c r="AZ61" i="3" s="1"/>
  <c r="AA62" i="3"/>
  <c r="AZ62" i="3" s="1"/>
  <c r="AA63" i="3"/>
  <c r="AZ63" i="3" s="1"/>
  <c r="AA64" i="3"/>
  <c r="AZ64" i="3" s="1"/>
  <c r="AA65" i="3"/>
  <c r="AZ65" i="3" s="1"/>
  <c r="AA66" i="3"/>
  <c r="AZ66" i="3" s="1"/>
  <c r="AA82" i="3"/>
  <c r="AZ82" i="3" s="1"/>
  <c r="AA83" i="3"/>
  <c r="AZ83" i="3" s="1"/>
  <c r="AA84" i="3"/>
  <c r="AZ84" i="3" s="1"/>
  <c r="AA67" i="3"/>
  <c r="AZ67" i="3" s="1"/>
  <c r="AA68" i="3"/>
  <c r="AZ68" i="3" s="1"/>
  <c r="AA86" i="3"/>
  <c r="AZ86" i="3" s="1"/>
  <c r="AA87" i="3"/>
  <c r="AZ87" i="3" s="1"/>
  <c r="AA90" i="3"/>
  <c r="AZ90" i="3" s="1"/>
  <c r="AA95" i="3"/>
  <c r="AZ95" i="3" s="1"/>
  <c r="AA99" i="3"/>
  <c r="AZ99" i="3" s="1"/>
  <c r="AA100" i="3"/>
  <c r="AZ100" i="3" s="1"/>
  <c r="AA101" i="3"/>
  <c r="AZ101" i="3" s="1"/>
  <c r="AA102" i="3"/>
  <c r="AZ102" i="3" s="1"/>
  <c r="AA103" i="3"/>
  <c r="AZ103" i="3" s="1"/>
  <c r="M4" i="3"/>
  <c r="AV105" i="3"/>
  <c r="AT105" i="3"/>
  <c r="AR105" i="3"/>
  <c r="AP105" i="3"/>
  <c r="AN105" i="3"/>
  <c r="V105" i="3"/>
  <c r="T105" i="3"/>
  <c r="R105" i="3"/>
  <c r="O105" i="3"/>
  <c r="AV104" i="3"/>
  <c r="AT104" i="3"/>
  <c r="AR104" i="3"/>
  <c r="AP104" i="3"/>
  <c r="AN104" i="3"/>
  <c r="V104" i="3"/>
  <c r="T104" i="3"/>
  <c r="R104" i="3"/>
  <c r="O104" i="3"/>
  <c r="T103" i="3"/>
  <c r="O103" i="3"/>
  <c r="T102" i="3"/>
  <c r="O102" i="3"/>
  <c r="N101" i="3"/>
  <c r="N100" i="3"/>
  <c r="N99" i="3"/>
  <c r="AV98" i="3"/>
  <c r="AT98" i="3"/>
  <c r="AR98" i="3"/>
  <c r="AP98" i="3"/>
  <c r="AN98" i="3"/>
  <c r="V98" i="3"/>
  <c r="R98" i="3"/>
  <c r="O98" i="3"/>
  <c r="N98" i="3"/>
  <c r="N97" i="3"/>
  <c r="N96" i="3"/>
  <c r="N95" i="3"/>
  <c r="V94" i="3"/>
  <c r="AZ94" i="3" s="1"/>
  <c r="T94" i="3"/>
  <c r="O94" i="3"/>
  <c r="AV93" i="3"/>
  <c r="AT93" i="3"/>
  <c r="AR93" i="3"/>
  <c r="AP93" i="3"/>
  <c r="AN93" i="3"/>
  <c r="V93" i="3"/>
  <c r="AZ93" i="3" s="1"/>
  <c r="T93" i="3"/>
  <c r="R93" i="3"/>
  <c r="O93" i="3"/>
  <c r="M93" i="3"/>
  <c r="AV92" i="3"/>
  <c r="AT92" i="3"/>
  <c r="AR92" i="3"/>
  <c r="AP92" i="3"/>
  <c r="AN92" i="3"/>
  <c r="R92" i="3"/>
  <c r="O92" i="3"/>
  <c r="M92" i="3"/>
  <c r="AV91" i="3"/>
  <c r="AT91" i="3"/>
  <c r="AR91" i="3"/>
  <c r="AP91" i="3"/>
  <c r="AN91" i="3"/>
  <c r="V91" i="3"/>
  <c r="T91" i="3"/>
  <c r="R91" i="3"/>
  <c r="O91" i="3"/>
  <c r="M91" i="3"/>
  <c r="AV89" i="3"/>
  <c r="AT89" i="3"/>
  <c r="AR89" i="3"/>
  <c r="AP89" i="3"/>
  <c r="AN89" i="3"/>
  <c r="V89" i="3"/>
  <c r="AZ89" i="3" s="1"/>
  <c r="T89" i="3"/>
  <c r="R89" i="3"/>
  <c r="O89" i="3"/>
  <c r="M89" i="3"/>
  <c r="AV88" i="3"/>
  <c r="AT88" i="3"/>
  <c r="AR88" i="3"/>
  <c r="AP88" i="3"/>
  <c r="AN88" i="3"/>
  <c r="R88" i="3"/>
  <c r="O88" i="3"/>
  <c r="M88" i="3"/>
  <c r="N87" i="3"/>
  <c r="BA87" i="3" s="1"/>
  <c r="M87" i="3"/>
  <c r="N86" i="3"/>
  <c r="M86" i="3"/>
  <c r="AV85" i="3"/>
  <c r="AT85" i="3"/>
  <c r="AR85" i="3"/>
  <c r="AP85" i="3"/>
  <c r="AN85" i="3"/>
  <c r="V85" i="3"/>
  <c r="AZ85" i="3" s="1"/>
  <c r="T85" i="3"/>
  <c r="R85" i="3"/>
  <c r="O85" i="3"/>
  <c r="M85" i="3"/>
  <c r="O75" i="3"/>
  <c r="BA75" i="3" s="1"/>
  <c r="O68" i="3"/>
  <c r="BA68" i="3" s="1"/>
  <c r="O74" i="3"/>
  <c r="M74" i="3"/>
  <c r="M75" i="3" s="1"/>
  <c r="O67" i="3"/>
  <c r="BA67" i="3" s="1"/>
  <c r="O84" i="3"/>
  <c r="BA84" i="3" s="1"/>
  <c r="V78" i="3"/>
  <c r="AZ78" i="3" s="1"/>
  <c r="T78" i="3"/>
  <c r="T77" i="3"/>
  <c r="BA77" i="3" s="1"/>
  <c r="AV76" i="3"/>
  <c r="N79" i="3"/>
  <c r="M79" i="3"/>
  <c r="N80" i="3"/>
  <c r="M80" i="3"/>
  <c r="N59" i="3"/>
  <c r="K59" i="3"/>
  <c r="AV59" i="3" s="1"/>
  <c r="N56" i="3"/>
  <c r="M56" i="3"/>
  <c r="N57" i="3"/>
  <c r="M57" i="3"/>
  <c r="O50" i="3"/>
  <c r="BA50" i="3" s="1"/>
  <c r="O48" i="3"/>
  <c r="BA48" i="3" s="1"/>
  <c r="M48" i="3"/>
  <c r="AV46" i="3"/>
  <c r="AT46" i="3"/>
  <c r="AR46" i="3"/>
  <c r="AP46" i="3"/>
  <c r="AN46" i="3"/>
  <c r="V46" i="3"/>
  <c r="T46" i="3"/>
  <c r="R46" i="3"/>
  <c r="O46" i="3"/>
  <c r="M46" i="3"/>
  <c r="N43" i="3"/>
  <c r="M43" i="3"/>
  <c r="N44" i="3"/>
  <c r="M44" i="3"/>
  <c r="V32" i="3"/>
  <c r="AZ32" i="3" s="1"/>
  <c r="O32" i="3"/>
  <c r="T36" i="3"/>
  <c r="Q36" i="3"/>
  <c r="O36" i="3"/>
  <c r="N36" i="3"/>
  <c r="M36" i="3"/>
  <c r="O40" i="3"/>
  <c r="T38" i="3"/>
  <c r="O38" i="3"/>
  <c r="T33" i="3"/>
  <c r="O33" i="3"/>
  <c r="N37" i="3"/>
  <c r="M37" i="3"/>
  <c r="AV34" i="3"/>
  <c r="AT34" i="3"/>
  <c r="AR34" i="3"/>
  <c r="AP34" i="3"/>
  <c r="AN34" i="3"/>
  <c r="R34" i="3"/>
  <c r="N34" i="3"/>
  <c r="T34" i="3" s="1"/>
  <c r="M34" i="3"/>
  <c r="AV29" i="3"/>
  <c r="AT29" i="3"/>
  <c r="AR29" i="3"/>
  <c r="AP29" i="3"/>
  <c r="AN29" i="3"/>
  <c r="V29" i="3"/>
  <c r="T29" i="3"/>
  <c r="R29" i="3"/>
  <c r="O29" i="3"/>
  <c r="M29" i="3"/>
  <c r="AV28" i="3"/>
  <c r="AT28" i="3"/>
  <c r="AR28" i="3"/>
  <c r="AP28" i="3"/>
  <c r="AN28" i="3"/>
  <c r="V28" i="3"/>
  <c r="T28" i="3"/>
  <c r="R28" i="3"/>
  <c r="O28" i="3"/>
  <c r="M28" i="3"/>
  <c r="AN11" i="3"/>
  <c r="T11" i="3"/>
  <c r="W11" i="3"/>
  <c r="AZ11" i="3" s="1"/>
  <c r="AN10" i="3"/>
  <c r="T10" i="3"/>
  <c r="O10" i="3"/>
  <c r="M10" i="3"/>
  <c r="AV9" i="3"/>
  <c r="AT9" i="3"/>
  <c r="AR9" i="3"/>
  <c r="AP9" i="3"/>
  <c r="AN9" i="3"/>
  <c r="V9" i="3"/>
  <c r="T9" i="3"/>
  <c r="O9" i="3"/>
  <c r="M9" i="3"/>
  <c r="AV8" i="3"/>
  <c r="AT8" i="3"/>
  <c r="AR8" i="3"/>
  <c r="AP8" i="3"/>
  <c r="AN8" i="3"/>
  <c r="V8" i="3"/>
  <c r="T8" i="3"/>
  <c r="O8" i="3"/>
  <c r="M8" i="3"/>
  <c r="AN7" i="3"/>
  <c r="T7" i="3"/>
  <c r="O7" i="3"/>
  <c r="AV6" i="3"/>
  <c r="AT6" i="3"/>
  <c r="AR6" i="3"/>
  <c r="AP6" i="3"/>
  <c r="AN6" i="3"/>
  <c r="V6" i="3"/>
  <c r="T6" i="3"/>
  <c r="R6" i="3"/>
  <c r="O6" i="3"/>
  <c r="M6" i="3"/>
  <c r="AV5" i="3"/>
  <c r="AT5" i="3"/>
  <c r="AR5" i="3"/>
  <c r="AP5" i="3"/>
  <c r="AN5" i="3"/>
  <c r="V5" i="3"/>
  <c r="T5" i="3"/>
  <c r="R5" i="3"/>
  <c r="O5" i="3"/>
  <c r="M5" i="3"/>
  <c r="AN3" i="3"/>
  <c r="T3" i="3"/>
  <c r="AN2" i="3"/>
  <c r="T2" i="3"/>
  <c r="N2" i="3"/>
  <c r="M2" i="3"/>
  <c r="BA85" i="3" l="1"/>
  <c r="BA88" i="3"/>
  <c r="BA89" i="3"/>
  <c r="BA91" i="3"/>
  <c r="BA105" i="3"/>
  <c r="BA92" i="3"/>
  <c r="BA104" i="3"/>
  <c r="AA5" i="3"/>
  <c r="AA6" i="3"/>
  <c r="AA8" i="3"/>
  <c r="AA28" i="3"/>
  <c r="AA29" i="3"/>
  <c r="AA46" i="3"/>
  <c r="AZ46" i="3" s="1"/>
  <c r="AA98" i="3"/>
  <c r="AZ98" i="3" s="1"/>
  <c r="AZ30" i="3"/>
  <c r="BA31" i="3"/>
  <c r="AZ31" i="3"/>
  <c r="AA9" i="3"/>
  <c r="BA46" i="3"/>
  <c r="AA91" i="3"/>
  <c r="AZ91" i="3" s="1"/>
  <c r="BA94" i="3"/>
  <c r="AA104" i="3"/>
  <c r="AZ104" i="3" s="1"/>
  <c r="AA105" i="3"/>
  <c r="AZ105" i="3" s="1"/>
  <c r="W3" i="3"/>
  <c r="AZ3" i="3" s="1"/>
  <c r="BA3" i="3"/>
  <c r="W5" i="3"/>
  <c r="AZ5" i="3" s="1"/>
  <c r="BA5" i="3"/>
  <c r="W6" i="3"/>
  <c r="BA6" i="3"/>
  <c r="W9" i="3"/>
  <c r="AZ9" i="3" s="1"/>
  <c r="BA9" i="3"/>
  <c r="W28" i="3"/>
  <c r="AZ28" i="3" s="1"/>
  <c r="BA28" i="3"/>
  <c r="W29" i="3"/>
  <c r="AZ29" i="3" s="1"/>
  <c r="BA29" i="3"/>
  <c r="N106" i="3"/>
  <c r="BA34" i="3"/>
  <c r="T37" i="3"/>
  <c r="AV43" i="3"/>
  <c r="BA74" i="3"/>
  <c r="O86" i="3"/>
  <c r="BA93" i="3"/>
  <c r="T99" i="3"/>
  <c r="T101" i="3"/>
  <c r="W7" i="3"/>
  <c r="AZ7" i="3" s="1"/>
  <c r="BA7" i="3"/>
  <c r="W8" i="3"/>
  <c r="AZ8" i="3" s="1"/>
  <c r="BA8" i="3"/>
  <c r="W10" i="3"/>
  <c r="AZ10" i="3" s="1"/>
  <c r="BA10" i="3"/>
  <c r="BA11" i="3"/>
  <c r="BA33" i="3"/>
  <c r="BA38" i="3"/>
  <c r="BA40" i="3"/>
  <c r="BA36" i="3"/>
  <c r="BA32" i="3"/>
  <c r="O57" i="3"/>
  <c r="AV56" i="3"/>
  <c r="T80" i="3"/>
  <c r="AV79" i="3"/>
  <c r="BA78" i="3"/>
  <c r="O95" i="3"/>
  <c r="AV96" i="3"/>
  <c r="AV97" i="3"/>
  <c r="T98" i="3"/>
  <c r="BA98" i="3" s="1"/>
  <c r="O100" i="3"/>
  <c r="BA102" i="3"/>
  <c r="BA103" i="3"/>
  <c r="O44" i="3"/>
  <c r="I6" i="2"/>
  <c r="AP97" i="3"/>
  <c r="O99" i="3"/>
  <c r="BA99" i="3" s="1"/>
  <c r="O97" i="3"/>
  <c r="V97" i="3"/>
  <c r="AZ97" i="3" s="1"/>
  <c r="O101" i="3"/>
  <c r="BA101" i="3" s="1"/>
  <c r="O37" i="3"/>
  <c r="BA37" i="3" s="1"/>
  <c r="T44" i="3"/>
  <c r="R43" i="3"/>
  <c r="V43" i="3"/>
  <c r="AP43" i="3"/>
  <c r="AT43" i="3"/>
  <c r="T57" i="3"/>
  <c r="R56" i="3"/>
  <c r="V56" i="3"/>
  <c r="AP56" i="3"/>
  <c r="AT56" i="3"/>
  <c r="R59" i="3"/>
  <c r="V59" i="3"/>
  <c r="AP59" i="3"/>
  <c r="AT59" i="3"/>
  <c r="O80" i="3"/>
  <c r="V80" i="3"/>
  <c r="AZ80" i="3" s="1"/>
  <c r="R79" i="3"/>
  <c r="V79" i="3"/>
  <c r="AZ79" i="3" s="1"/>
  <c r="AP79" i="3"/>
  <c r="AT79" i="3"/>
  <c r="R76" i="3"/>
  <c r="AP76" i="3"/>
  <c r="AT76" i="3"/>
  <c r="T86" i="3"/>
  <c r="BA86" i="3" s="1"/>
  <c r="T95" i="3"/>
  <c r="R96" i="3"/>
  <c r="V96" i="3"/>
  <c r="AZ96" i="3" s="1"/>
  <c r="AP96" i="3"/>
  <c r="AT96" i="3"/>
  <c r="AT97" i="3"/>
  <c r="T100" i="3"/>
  <c r="K106" i="3"/>
  <c r="O2" i="3"/>
  <c r="W2" i="3" s="1"/>
  <c r="W106" i="3" s="1"/>
  <c r="V2" i="3"/>
  <c r="O43" i="3"/>
  <c r="T43" i="3"/>
  <c r="AN43" i="3"/>
  <c r="AR43" i="3"/>
  <c r="O56" i="3"/>
  <c r="T56" i="3"/>
  <c r="AN56" i="3"/>
  <c r="AR56" i="3"/>
  <c r="M59" i="3"/>
  <c r="M106" i="3" s="1"/>
  <c r="O59" i="3"/>
  <c r="T59" i="3"/>
  <c r="AN59" i="3"/>
  <c r="AR59" i="3"/>
  <c r="O79" i="3"/>
  <c r="T79" i="3"/>
  <c r="AN79" i="3"/>
  <c r="AR79" i="3"/>
  <c r="AN76" i="3"/>
  <c r="AR76" i="3"/>
  <c r="O96" i="3"/>
  <c r="T96" i="3" s="1"/>
  <c r="AN96" i="3"/>
  <c r="AR96" i="3"/>
  <c r="AN97" i="3"/>
  <c r="AR97" i="3"/>
  <c r="AZ6" i="3" l="1"/>
  <c r="T97" i="3"/>
  <c r="AN106" i="3"/>
  <c r="BA96" i="3"/>
  <c r="BA79" i="3"/>
  <c r="BA59" i="3"/>
  <c r="AA59" i="3"/>
  <c r="AZ59" i="3" s="1"/>
  <c r="AA56" i="3"/>
  <c r="AZ56" i="3" s="1"/>
  <c r="BA100" i="3"/>
  <c r="BA95" i="3"/>
  <c r="BA56" i="3"/>
  <c r="BA43" i="3"/>
  <c r="BA80" i="3"/>
  <c r="AA43" i="3"/>
  <c r="AZ43" i="3" s="1"/>
  <c r="BA97" i="3"/>
  <c r="BA57" i="3"/>
  <c r="BA76" i="3"/>
  <c r="BA44" i="3"/>
  <c r="BA2" i="3"/>
  <c r="V106" i="3"/>
  <c r="AA2" i="3"/>
  <c r="AA106" i="3" s="1"/>
  <c r="W107" i="3" s="1"/>
  <c r="T106" i="3"/>
  <c r="O106" i="3"/>
  <c r="AZ2" i="3" l="1"/>
  <c r="AR215" i="1"/>
  <c r="AQ2" i="1"/>
  <c r="BL2" i="1" s="1"/>
  <c r="AQ16" i="1"/>
  <c r="BL16" i="1" s="1"/>
  <c r="AQ17" i="1"/>
  <c r="BL17" i="1" s="1"/>
  <c r="AQ3" i="1"/>
  <c r="BL3" i="1" s="1"/>
  <c r="AQ4" i="1"/>
  <c r="BL4" i="1" s="1"/>
  <c r="AQ5" i="1"/>
  <c r="BL5" i="1" s="1"/>
  <c r="AQ6" i="1"/>
  <c r="BL6" i="1" s="1"/>
  <c r="AQ7" i="1"/>
  <c r="BL7" i="1" s="1"/>
  <c r="AQ18" i="1"/>
  <c r="BL18" i="1" s="1"/>
  <c r="AQ19" i="1"/>
  <c r="BL19" i="1" s="1"/>
  <c r="AQ8" i="1"/>
  <c r="BL8" i="1" s="1"/>
  <c r="AQ20" i="1"/>
  <c r="BL20" i="1" s="1"/>
  <c r="AQ21" i="1"/>
  <c r="BL21" i="1" s="1"/>
  <c r="AQ9" i="1"/>
  <c r="BL9" i="1" s="1"/>
  <c r="AQ10" i="1"/>
  <c r="BL10" i="1" s="1"/>
  <c r="AQ23" i="1"/>
  <c r="BL23" i="1" s="1"/>
  <c r="AQ11" i="1"/>
  <c r="BL11" i="1" s="1"/>
  <c r="AQ12" i="1"/>
  <c r="BL12" i="1" s="1"/>
  <c r="AQ13" i="1"/>
  <c r="BL13" i="1" s="1"/>
  <c r="AQ24" i="1"/>
  <c r="BL24" i="1" s="1"/>
  <c r="AQ25" i="1"/>
  <c r="BL25" i="1" s="1"/>
  <c r="AQ26" i="1"/>
  <c r="BL26" i="1" s="1"/>
  <c r="AQ27" i="1"/>
  <c r="BL27" i="1" s="1"/>
  <c r="AQ28" i="1"/>
  <c r="BL28" i="1" s="1"/>
  <c r="AQ29" i="1"/>
  <c r="BL29" i="1" s="1"/>
  <c r="AQ30" i="1"/>
  <c r="BL30" i="1" s="1"/>
  <c r="AQ31" i="1"/>
  <c r="AQ22" i="1"/>
  <c r="BL22" i="1" s="1"/>
  <c r="AQ32" i="1"/>
  <c r="BL32" i="1" s="1"/>
  <c r="AQ33" i="1"/>
  <c r="BL33" i="1" s="1"/>
  <c r="AQ49" i="1"/>
  <c r="BL49" i="1" s="1"/>
  <c r="AQ50" i="1"/>
  <c r="BL50" i="1" s="1"/>
  <c r="AQ52" i="1"/>
  <c r="BL52" i="1" s="1"/>
  <c r="AQ53" i="1"/>
  <c r="BL53" i="1" s="1"/>
  <c r="AQ51" i="1"/>
  <c r="BL51" i="1" s="1"/>
  <c r="AQ36" i="1"/>
  <c r="BL36" i="1" s="1"/>
  <c r="AQ38" i="1"/>
  <c r="BL38" i="1" s="1"/>
  <c r="AQ102" i="1"/>
  <c r="BL102" i="1" s="1"/>
  <c r="AQ103" i="1"/>
  <c r="BL103" i="1" s="1"/>
  <c r="AQ58" i="1"/>
  <c r="BL58" i="1" s="1"/>
  <c r="AQ64" i="1"/>
  <c r="BL64" i="1" s="1"/>
  <c r="AQ75" i="1"/>
  <c r="BL75" i="1" s="1"/>
  <c r="AQ215" i="1" l="1"/>
  <c r="Y216" i="1" s="1"/>
</calcChain>
</file>

<file path=xl/sharedStrings.xml><?xml version="1.0" encoding="utf-8"?>
<sst xmlns="http://schemas.openxmlformats.org/spreadsheetml/2006/main" count="3706" uniqueCount="1397">
  <si>
    <t>Communes</t>
  </si>
  <si>
    <t>Code fiche étude</t>
  </si>
  <si>
    <t>TF Finalisé</t>
  </si>
  <si>
    <t>Quartier</t>
  </si>
  <si>
    <t>DAS</t>
  </si>
  <si>
    <t>code QPV</t>
  </si>
  <si>
    <t>RE_Code GEN</t>
  </si>
  <si>
    <t>Libellé de l'opération</t>
  </si>
  <si>
    <t>TF_Libellé de l'opération</t>
  </si>
  <si>
    <t>Typologie</t>
  </si>
  <si>
    <t>Typologie DRIHL</t>
  </si>
  <si>
    <t>Maître d'ouvrage et responsable de l'étude</t>
  </si>
  <si>
    <t>Pilotes</t>
  </si>
  <si>
    <t>Fonctionnement</t>
  </si>
  <si>
    <t>Investissement</t>
  </si>
  <si>
    <t>Descriptif</t>
  </si>
  <si>
    <t>Coût HT</t>
  </si>
  <si>
    <t>Coût TTC</t>
  </si>
  <si>
    <t>Base de financement</t>
  </si>
  <si>
    <t>Subvention ANRU</t>
  </si>
  <si>
    <t>Commentaire (mode de calcul, subvention, …)</t>
  </si>
  <si>
    <t>Ville</t>
  </si>
  <si>
    <t>Plaine Commune</t>
  </si>
  <si>
    <t>Bailleurs</t>
  </si>
  <si>
    <t>CDC</t>
  </si>
  <si>
    <t>CD93</t>
  </si>
  <si>
    <t>CRIF</t>
  </si>
  <si>
    <t>Europe</t>
  </si>
  <si>
    <t>Autres</t>
  </si>
  <si>
    <t>Date de démarrage (mois et année)</t>
  </si>
  <si>
    <t>Durée de l'opération en mois</t>
  </si>
  <si>
    <t>Nbre de logements</t>
  </si>
  <si>
    <t>Nbre de chambres</t>
  </si>
  <si>
    <t>AUBERVILLIERS</t>
  </si>
  <si>
    <t>AU-EMA-01</t>
  </si>
  <si>
    <t>Emile Dubois / Maladrerie</t>
  </si>
  <si>
    <t>DDUS</t>
  </si>
  <si>
    <t>QP093028</t>
  </si>
  <si>
    <t>Etude urbaine</t>
  </si>
  <si>
    <t>Etude urbaine Emile Dubois</t>
  </si>
  <si>
    <t>Urbaine</t>
  </si>
  <si>
    <t>Etudes stratégiques</t>
  </si>
  <si>
    <t>X</t>
  </si>
  <si>
    <t>Objectifs :_x000D_
 _x000D_
- Appropriation des différentes études urbaines existantes_x000D_
- Recollement des grands projets d’aménagement environnants_x000D_
- Intégration des coups partis et invariants du projet urbain_x000D_
- Diagnostic urbain et environnemental_x000D_
- Programmation urbaine et environnementale prenant en compte la co-construction et le volet sécurité_x000D_
- Coordination des différentes études en garantissant la cohérence de la programmation, l’intégration de leurs conclusions et le respect du calendrier_x000D_
- Intégration des conclusions des études techniques menées une fois la programmation urbaine connue avec un possible amendement du projet urbain_x000D_
- Chiffrage par opération et par maître d’ouvrage des propositions de l’étude urbaine afin de constituer une maquette financière_x000D_
- Transcription du projet urbain dans le PLU_x000D_
- Bilan financier et phasage du projet d’aménagement_x000D_
- Réflexion sur la conduite de projet et le mode opératoire pour la phase convention_x000D_
 _x000D_
Etudes préalables :_x000D_
 _x000D_
-Etude urbaine sur Emile Dubois,  Urban Act OPH d'Aubervilliers 2011_x000D_
-Etude urbaine Marches du Fort, Ozone Architectures et Artélia  Ville d’Aubervilliers et OPH d’Aubervilliers 2013_x000D_
-Synthèse des études urbaines réalisées sur le secteur Emile Dubois par Bâtiplaine OPH d’Aubervilliers 2014_x000D_
-Préfiguration d’aménagement urbain, implantation d’un groupe scolaire quartier Emile Dubois Nord, Ozone Architectures et Artélia  Ville d’Aubervilliers et OPH d’Aubervilliers 2014-2015_x000D_
 _x000D_
Carte sur l’emplacement et le nombre de place de stationnements sur espace public Plaine Commune 2015.</t>
  </si>
  <si>
    <t>Financement ANRU + CDC</t>
  </si>
  <si>
    <t>AU-EMA-02</t>
  </si>
  <si>
    <t>Etude de programmation et de restructuration d'équipements (EMA et V4C)</t>
  </si>
  <si>
    <t>Equipements</t>
  </si>
  <si>
    <t>Ville d'Aubervilliers</t>
  </si>
  <si>
    <t>Objectifs:_x000D_
- connaissance plus fine de l’offre d’équipements et des publics concernés,_x000D_
- contribution au repositionnement de la Commune dans la communauté d’agglomération Plaine Commune et dans le CDT du territoire de la culture et de la création par l’émergence d’équipements à fort rayonnement_x000D_
- aide à la définition et à la traduction de politiques publiques répondant, de façon adaptée (développer la polyvalence des équipements, mutualisation des services au sein d’équipements et évolution et mise aux normes des équipements existants), aux attentes actuelles et futures, en tenant compte des contraintes financières de la Ville._x000D_
- prévision des coûts de gestion et de fonctionnement des équipements._x000D_
- l’accompagnement plus précis des secteurs d’aménagement futur et en renouvellement urbain_x000D_
 _x000D_
Etudes préalables:_x000D_
- Etude de faisabilité pour l’aménagement d’un pôle culturel et citoyen 2007_x000D_
- Diagnostic interne sur l’état des équipements existants et les besoins de création et réhabilitation 2015</t>
  </si>
  <si>
    <t>étude globale sur les équipements de la ville avec zoom sur 2 secteurs NPNRU 
ligne commune avec le protocole villette quatre chemins</t>
  </si>
  <si>
    <t>AU-EMA-03</t>
  </si>
  <si>
    <t>Etude géomètre locaux commerciaux (EDM et V4C)</t>
  </si>
  <si>
    <t>Technique</t>
  </si>
  <si>
    <t>OPH d'Aubervilliers</t>
  </si>
  <si>
    <t>Objectifs: _x000D_
Propriétaire de plusieurs locaux commerciaux ou d’activité sur les deux secteurs, l’OPH d’Aubervilliers doit affiner la connaissance de ce patrimoine afin de contribuer au mieux à la réflexion menée par Plaine Commune et la Ville sur les potentiels de développement économique et d’implantation d’activités du périmètre retenu._x000D_
Une mission de géomètre sera donc nécessaire(mise à jour des surfaces et des niveaux de loyer en conformité avec la révision de la valeur locative, réalisation de plans, etc.).</t>
  </si>
  <si>
    <t>AU-EMA-04</t>
  </si>
  <si>
    <t>OPH Aubervilliers</t>
  </si>
  <si>
    <t>AU-EMA-04 / AU-EMA-05 / AU-EMA-06</t>
  </si>
  <si>
    <t>Campagnes d'inspection des réseaux privés</t>
  </si>
  <si>
    <t>Plans et réseaux</t>
  </si>
  <si>
    <t>Espaces extérieurs</t>
  </si>
  <si>
    <t>Objectifs:_x000D_
Connaître l'état des réseaux privés du site pour chiffrer au mieux leur reprise le cas échéant dans les différentes opérations qui seront inscrites à la convention ANRU.</t>
  </si>
  <si>
    <t>AU-EMA-05</t>
  </si>
  <si>
    <t>Relevé topographique et plan de coordination des réseaux (privés)</t>
  </si>
  <si>
    <t>Objectifs:_x000D_
Compléter, actualiser et unifier sous un même fichier les différents plans topographiques de surfaces disponiblesRéaliser les plans topographiques de surface inexistants._x000D_
Réaliser le plan de coordination des réseaux privés inexistantsEtudes préalables:_x000D_
Plans topographiques de surface d’une partie des secteurs Emile Dubois Nord et Sud et Maladrerie réalisés par l’OPH d’Aubervilliers en 2012-2014</t>
  </si>
  <si>
    <t>AU-EMA-06</t>
  </si>
  <si>
    <t>Etude sur la capacité de chauffage existant</t>
  </si>
  <si>
    <t>Habitat</t>
  </si>
  <si>
    <t>Logement</t>
  </si>
  <si>
    <t>Objectifs:_x000D_
Dans le cadre de la construction de nouveaux logements, une étude sur la capacité du réseau de chauffage existant à alimenter les nouvelles constructions pourrait être nécessaire.</t>
  </si>
  <si>
    <t>AU-EMA-07</t>
  </si>
  <si>
    <t>AU-EMA-07 / AU-EMA-08</t>
  </si>
  <si>
    <t>Etude pollution des futurs espaces privés</t>
  </si>
  <si>
    <t>Sols et espaces extérieurs</t>
  </si>
  <si>
    <t>Une fois la programmation urbaine connue, connaître  les mesures à prendre sur les espaces à usage privés de l'OPH d'Aubervilliers en matière de dépollution._x000D_
L'objectif est de chiffrer au mieux le coût de cette dépollution dans la maquette financière</t>
  </si>
  <si>
    <t>AU-EMA-08</t>
  </si>
  <si>
    <t>Etudes hydrogéologiques</t>
  </si>
  <si>
    <t>Objectifs: _x000D_
Une fois la programmation urbaine définie, des études hydrogéologiques devront être menées pour connaître le niveau des plus hautes eaux (NPHE) des parcelles destinées à accueillir des programmes de construction de logement. Etudes prélables:_x000D_
Définition des niveaux des plus hautes eaux dans le cadre de la construction de logements sociaux sur la ZAC Emile Dubois (Marie Curie) – Archambault Conseil 2011</t>
  </si>
  <si>
    <t>AU-EMA-09</t>
  </si>
  <si>
    <t>Etude pollution des futurs espaces destinés aux équipements</t>
  </si>
  <si>
    <t>Objectifs:_x000D_
- Une fois la programmation urbaine connue, connaître  les mesures à prendre concernant le sol sur les espaces qui sont ou ont vocation à devenir des équipements. _x000D_
L'objectif est de chiffrer au mieux le coût de cette dépollution dans la maquette financière_x000D_
 _x000D_
Etudes préalables:_x000D_
- Diagnostic pollution sur une parcelle d’Emile Dubois Nord réalisé par la Ville d’Aubervilliers en 2014</t>
  </si>
  <si>
    <t>AU-EMA-10</t>
  </si>
  <si>
    <t>Etude géotechnique sur les espaces de futurs équipements</t>
  </si>
  <si>
    <t>Objectifs:_x000D_
Une fois la programmation urbaine connue, connaître  les mesures à prendre concernant le sol sur les espaces qui sont ou ont vocation à devenir des équipements._x000D_
L'objectif est de chiffrer au mieux le coût des mesures concernant les sols dans la maquette financière._x000D_
 _x000D_
Etudes préalables:_x000D_
- Etude géotechnique préalable réalisée sur une parcelle d’Emile Dubois Nord en 2014 par la Ville d’Aubervilliers</t>
  </si>
  <si>
    <t>AU-EMA-11</t>
  </si>
  <si>
    <t>Stratégie sur la copropriété des Joyeux</t>
  </si>
  <si>
    <t>Objectifs :_x000D_
 _x000D_
Dès 2001, la copropriété Les Joyeux est identifiée dans le PLHI de la ville d'Aubervilliers comme nécessitant un Plan de Sauvegarde. Compte-tenu de ses difficultés, la copropriété a été intégrée au dispositif d'OPAH Centre-ville 2003/2006, bien qu'en dehors du périmètre. Il apparaît très rapidement que les difficultés de la copropriété nécessitent un accompagnement très renforcé. L'opérateur préconise, lui aussi, un Plan de Sauvegarde._x000D_
 _x000D_
Dans l'attente d'opportunité pour un accompagnement renforcé de la copropriété, elle a été rattachée par avenant en 2014 à l'OPAH-RU du Centre-Ville (2012-2016). La copropriété fait donc l'objet d'une veille et d'un suivi mais aucun accompagnement n'est mis en œuvre à ce jour. _x000D_
 _x000D_
Durant la phase du protocole de préfiguration, la copropriété Les Joyeux fera donc l’objet d’une « étude-action » sous la forme d’une phase d’élaboration de Plan de Sauvegarde. Il s’agira d’apporter un accompagnement renforcé à la copropriété face à ses nombreuses difficultés. Cela se traduira notamment par l’accompagnement technique et administratif dans la réalisation des travaux d’urgence, la mise en place de commissions thématiques (travaux, relogement,…) ou encore l’accompagnement social des ménages._x000D_
 _x000D_
Ces premières actions menées viendront alimenter le diagnostic approfondi de la copropriété qui consistera à déterminer la capacité de la copropriété à se maintenir et bénéficier d’un Plan de Sauvegarde ou à défaut de maintien d’envisager des alternatives.  _x000D_</t>
  </si>
  <si>
    <t>AU-EMA-12</t>
  </si>
  <si>
    <t>AU-EMA-12 / AU-EMA-13 / AU-V4C-11</t>
  </si>
  <si>
    <t>Diagnostic bâti Emile Dubois Nord et Sud</t>
  </si>
  <si>
    <t>Etudes bâti</t>
  </si>
  <si>
    <t>Objectifs:_x000D_
Dans le cadre de sa stratégie patrimoniale, l’OPH d’Aubervilliers a lancé, en 2015, une mission d’assistance à maîtrise d’ouvrage afin d’établir un diagnostic de l’état du parc existant et de définir les priorités en termes d’interventions techniques sur le bâti. Dans le cas où ce Plan Stratégique de Patrimoine désigne les bâtiments présents sur le secteur comme étant prioritaires à rénover (voire démolir), il est prévu de lancer des études techniques complémentaires qui permettront d’affiner les programmes de travaux à lancer ainsi que leur chiffrage._x000D_
Etudes préalables:_x000D_
- Etude géomètre (relevés des façades et toitures) sur les bâtiments d’Emile Dubois 2015_x000D_
- AMO Plan Stratégique de Patrimoine – Groupement Espacité / PMCR / Terra Conseil 2015-2016</t>
  </si>
  <si>
    <t>AU-EMA-13</t>
  </si>
  <si>
    <t>Relevés des façades et toitures Maladrerie</t>
  </si>
  <si>
    <t>Objectifs:_x000D_
Afin d’aider la future maîtrise d’œuvre à chiffrer au mieux les travaux à prévoir sur la Maladrerie, un relevé de géomètre des façades et toitures de cet ensemble complexe est indispensable(complexité architecturale qui rend difficile les projections)._x000D_
 _x000D_
Etudes préalables:_x000D_
Diagnostic bâti de la Maladrerie de l’Atelier Gorka Piqueras de 2012</t>
  </si>
  <si>
    <t>AU-EMA-14</t>
  </si>
  <si>
    <t>Diagnostic patrimonial historique</t>
  </si>
  <si>
    <t>Objectifs:_x000D_
L'Etat (DRIHL et ABF) demande à l'OPH de mener une étude patrimoniale historique en parallèle des études techniques sur le bâti._x000D_
Un travail de définition plus précise de cette commande est en cours avec l'ABF et permettra d’élaborer le cahier des charges précis de cette étude._x000D_
 _x000D_
Etudes préalables:_x000D_
- Diagnostic bâti et avant-projet sommaire sur la réhabilitation de l’Atelier Gorka Piqueras 2012_x000D_
- Résidentialisation îlot Daquin – Virtuel Architecture 2012_x000D_
- Etude faisabilité GAZ – Réhabilitation de la Maladrerie - GRDF 2013_x000D_
- Réhabilitation îlot Daquin – Virtuel Architecture 2014_x000D_
- Diagnostic occupation sociale du parc de l’OPH – Cabinet Espacité 2014_x000D_
- Marché à bon de commande réfection étanchéité toitures-terrasses (80) Maladrerie septembre 2015</t>
  </si>
  <si>
    <t>AU-EMA-15</t>
  </si>
  <si>
    <t>Mission de maîtrise d'œuvre : élaboration du programme de construction</t>
  </si>
  <si>
    <t>Objectifs:_x000D_
 _x000D_
Dans le cadre du NPRU, des réhabilitations-restructurations lourdes très complexes à mener en site occupé sont à prévoir (Maladrerie par exemple).Par ailleurs, des démolitions pourraient être envisagées notamment dans le cadre de l’étude urbaine globale pilotée par Plaine Commune dans le but de relier le Fort d’Aubervilliers au secteur Emile Dubois – Maladrerie._x000D_
 _x000D_
Afin d’anticiper les relogements à effectuer parallèlement à ces interventions (relogements provisoires ou définitifs) et de permettre un maximum de relogements sur site,  il semble nécessaire que de nouveaux logements soient livrés au moment où débuteront ces réhabilitations et/ou démolitions. Plusieurs terrains appartenant à l’OPH, et pour lesquels le foncier est déjà libéré, ont été identifiés. Ces derniers pourraient permettre de mener à bien cet objectif que se sont fixés l’OPH et ses partenaires (Ville et Plaine Commune). Afin de pouvoir calibrer le nombre de logements pouvant être construits et à quel coût, une assistance à maîtrise d’ouvrage sera missionnée par l’OPH d’Aubervilliers durant la phase de préfiguration du NPRU._x000D_
 _x000D_
Etudes préalables:_x000D_
 _x000D_
- Etude géomètre (relevés des façades et toitures) sur les bâtiments d’Emile Dubois 2015_x000D_
- AMO Plan Stratégique de Patrimoine – Groupement Espacité / PMCR / Terra Conseil 2015-2016_x000D_
- AMO sur la programmation de nouveaux logements – Groupement O’zone / Artelia 2015</t>
  </si>
  <si>
    <t>AU-EMA-16</t>
  </si>
  <si>
    <t>Diagnostic amiante espaces extérieurs, réseaux et bâti EDM et V4C)</t>
  </si>
  <si>
    <t>Objectifs:_x000D_
Dans le cadre des futures interventions sur le bâti (réhabilitations, démolitions), et les espaces extérieur de la Dalle Félix Faure, il sera nécessaire d'effectuer ces repérages afin de chiffrer plus précisément le coût des travaux à réaliser et d’éviter les aléas liés à la présence d’amiante._x000D_
 _x000D_
Etudes préalables:_x000D_
- Diagnostic technique amiante parties communes et commerces – BTP Consultants 2005-2006_x000D_
- Repérages amiante démolition barre Grosperrin – Qualiconsult 2013_x000D_
- Diagnostic bâti et avant-projet sommaire sur la réhabilitation de la  de l’Atelier Gorka Piqueras 2012_x000D_
- Travaux réhabilitation îlot Daquin – Virtuel Architecture 2014_x000D_
- Repérages amiante travaux étanchéité toitures-terrasses (80) à la Maladrerie – Qualiconsult Immobilier 2014</t>
  </si>
  <si>
    <t>AU-EMA-17</t>
  </si>
  <si>
    <t>Etude géotechnique sur les espaces accueillant les futurs logements sociaux</t>
  </si>
  <si>
    <t>Une fois la programmation urbaine connue, connaître  la nature des sols sur les espaces qui sont ou ont vocation à devenir des logements de l'OPH d'Aubervilliers.</t>
  </si>
  <si>
    <t>AU-EMA-18</t>
  </si>
  <si>
    <t>Diagnostic précarité énergétique</t>
  </si>
  <si>
    <t>La Maladrerie est un ensemble d’habitation emblématique construit en 9 tranches sur une dizaine d’années, dont la conception a été valorisée par le label patrimoine du 20e siècle. Il connaît néanmoins des pathologies lourdes et cause des troubles importants auprès de ses occupants (infiltrations, passoire thermique, détérioration des bétons) qui rendent nécessaire sa réhabilitation. L’OPH et ses partenaires locaux s’attèlent depuis plusieurs années à établir la bonne manière d’intervenir et ont buté à plusieurs reprises sur un constat : il n’est pas financièrement envisageable d’intervenir sur toutes les pathologies et sur toutes les tranches de la même manière._x000D_
 _x000D_
Le caractère stratégique de cette étude s’explique par le souhait de dépasser cette difficulté et donc de définir la nature et la localisation des interventions à prévoir en phase convention, tranche par tranche.  _x000D_
 _x000D_
La principale difficulté réside dans la méconnaissance des usages et des consommations des habitants de la Maladrerie. L’exemple le plus criant est celui des consommations d’électricité lorsque le chauffage repose sur un système électrique individuel que nous ne sommes pas en mesure de quantifier. Nous avons des informations sur les caractéristiques techniques des logements et leurs performances énergétiques. Cependant, nous ignorons les conséquences en matière de confort et de budget pour nos locataires dans la mesure où ceux-ci contractent leur abonnement auprès d’un opérateur sans passer par l’intermédiaire de l’OPH. Dans un système de chauffage collectif le problème ne se pose pas de la même manière puisque l’OPH paye le fournisseur et le re-facture aux locataires ; la visibilité sur les consommations est bien plus aisée. _x000D_
Par le biais de notre service social, qui traite les situations de précarité énergétique, nous avons quelques retours qui nous indiquent la gravité de ce que peut être la situation dans certains logements, mais ceux-ci ne nous permettent pas d’en tirer des conséquences générales sur l’usage dans chacune des tranches de la Maladrerie. _x000D_
 _x000D_
Aussi, l’idée de cette étude est de réussir à objectiver des données sociales et d’occupation qui puissent venir en regard du diagnostic bâti traditionnel pour nourrir et compléter ce dernier. _x000D_
L’étude permettrait d’obtenir, en premier lieu, des données telles que : _x000D_
Le niveau des consommations énergétiques, notamment électriques _x000D_
Le montant des factures correspondant à ces consommations et donc le niveau de charges global par foyer _x000D_
Les conditions de vie et le niveau de confort ressenti</t>
  </si>
  <si>
    <t>AU-EMA-19</t>
  </si>
  <si>
    <t>AMO Co-construction</t>
  </si>
  <si>
    <t>Accompagnement</t>
  </si>
  <si>
    <t>Objectifs :_x000D_
 _x000D_
Organisation d'ateliers avec les habitants, associations, acteurs du quartier sur la définition du programme de NPNRU._x000D_
Formation des habitants sur les enjeux des études et d'un projet de rénovation urbaine.</t>
  </si>
  <si>
    <t>AU-EMA-20</t>
  </si>
  <si>
    <t>Etude urbaine de redéfinition des espaces extérieurs des sites situés entre le 152 avenue Henri Barbusse et le 55 rue de la motte à Aubervilliers</t>
  </si>
  <si>
    <t>RIVP</t>
  </si>
  <si>
    <t>Objectifs:_x000D_
- redonner  un  sentiment de sécurité aux habitants _x000D_
- ouvrir la résidence sur la ville _x000D_
- améliorer l’esthétisme des espaces extérieurs_x000D_
- mettre en place un contrôle d’accès performant_x000D_
- proposer un shéma de rénovation des espaces extérieurs de circulation (piéton, voiture) _x000D_
- reconvertir certains espaces délaissés (aire de jeux,  friches, …)_x000D_
- améliorer les conditions de travail des gardiens et l’accessibilité du site _x000D_
 _x000D_
Etudes préalables:_x000D_
- Concertation menée avec les locataires en 2014</t>
  </si>
  <si>
    <t>sous réserve que la RIVP puisse être inclue ds le protocole</t>
  </si>
  <si>
    <t>AU-V4C-01</t>
  </si>
  <si>
    <t>Villette / 4 Chemins</t>
  </si>
  <si>
    <t>Statégie urbaine intercommunale - Volet urbain/Volet environnemental</t>
  </si>
  <si>
    <t>Statégie urbaine intercommunale</t>
  </si>
  <si>
    <t>Objectifs : _x000D_
Etude urbaine à visées stratégique et opérationnelle qui aura vocation à définir un projet urbain cadre mettant en cohérence le projet de rénovation dans une stratégie globale d’évolution du quartier à court, moyen et long terme._x000D_
L'objectif est de définir un schéma directeur de requalification et d’amélioration du cadre de vie de l’espace urbain et de l’environnement à l’échelle intercommunale et renforcer la mixité de l’habitat et des fonctions urbaines déjà existantes, par une série d’actions à décliner dans chaque ville._x000D_
Cette étude se déclinera en plusieurs volets, autour du volet urbain qui devra mettre en cohérence l’ensemble des volets afin de déboucher sur un programme d’actions lissé sur 5 ans et une maquette financière chiffrée. _x000D_
 _x000D_
Etudes préalables :_x000D_
- Schéma directeur du PRU 1_x000D_
- Etude commerces en vue du PRU 1_x000D_
- Etude sur les dalles : parkings et  faisabilité urbaine,</t>
  </si>
  <si>
    <t>Financement ANRU + CDC + CAEE + Ville Pantin ? (répartition à stabiliser)</t>
  </si>
  <si>
    <t>AU-V4C-02</t>
  </si>
  <si>
    <t>Commerces, artisanat, activités : Axe RN2 (intercommunal) / Locaux dalle Villette (commerces et artisanat)</t>
  </si>
  <si>
    <t>Économique</t>
  </si>
  <si>
    <t>L’étude devra fournir une analyse prospective de développement économique, notamment en termes de développement d’emploi local, et mesurer l’impact de l’environnement sur le développement économique. Elle proposera les pistes de diversification et d'amélioration de l'offre commerciale.</t>
  </si>
  <si>
    <t>financement CDC + CAEE (répartition à stabiliser)</t>
  </si>
  <si>
    <t>AU-V4C-04</t>
  </si>
  <si>
    <t>Objectifs : _x000D_
- Définition des outils opérationnels en vue du redressement des copropriétés et SCI ayant fait l'objet d'une étude préalable._x000D_
- Concernant les nouvelles adresses repérées par les services de la Ville et de Plaine Commune en 2015: réalisation d’un diagnostic social, technique et de gestion, et préconisations opérationnelles._x000D_
- Sur le secteur « Dalle Villette » : réalisation d'un diagnostic des copropriétés d’habitations en vue d’accompagner les copropriétés d’habitations (optimisation des charges) et de consolider le diagnostic immobilier._x000D_
 _x000D_
Etude préalable sur des copropriétés et SCI dans le diffus dans les secteurs Villette 4 Chemins et Emile Dubois -2014</t>
  </si>
  <si>
    <t>AU-V4C-05</t>
  </si>
  <si>
    <t>Accompagnement juridique du projet urbain sur la dalle Villette</t>
  </si>
  <si>
    <t>Accompagnement juridique</t>
  </si>
  <si>
    <t>Juridique</t>
  </si>
  <si>
    <t>- Sur la base des travaux à réaliser dans le cadre du projet de rénovation :_x000D_
- Identifier les différentes propriétés et copropriétés de l’ensemble immobilier de la Dalle Villette_x000D_
- Identifier les règles de majorité : A qui la collectivité doit-elle acheter les lots ? Quels sont ces interlocuteurs ? Qui peut accorder l’autorisation et le vendre ?</t>
  </si>
  <si>
    <t>AU-V4C-06</t>
  </si>
  <si>
    <t>Etude structure Dalle Félix Faure</t>
  </si>
  <si>
    <t>Objectifs :_x000D_
-  Relevé des désordres_x000D_
- Définition capacité portante de la dalle_x000D_
- Identification des caractéristiques mécaniques_x000D_
-  Adaptabilité en fonction des aménagements envisagés</t>
  </si>
  <si>
    <t>Nouvelle ligne</t>
  </si>
  <si>
    <t>AU-V4C-07</t>
  </si>
  <si>
    <t>Clarification statuts ASGO</t>
  </si>
  <si>
    <t>Association Syndicale de la Goutte d'Or</t>
  </si>
  <si>
    <t>Objectifs :_x000D_
- Etat des lieux général foncier et juridique de l'ensemble de la dalle Villette et réalisation de plans de géomètre_x000D_
- Préconisations sur le type de structure à mettre en place pour régir l'ensemble immobilier_x000D_
 _x000D_
Etudes préalables :_x000D_
- Etude géomètre relative aux statuts de l'ASGO-2013</t>
  </si>
  <si>
    <t>AU-V4C-08</t>
  </si>
  <si>
    <t>Diagnostic amiante du parking de la dalle villette</t>
  </si>
  <si>
    <t>- mise à jour du DTA Diagnostic technique amiante des parkings_x000D_
 - réalisation  DAAT Diagnostic amiante avant travaux</t>
  </si>
  <si>
    <t>AU-V4C-10</t>
  </si>
  <si>
    <t>Etude déplacements et circulations</t>
  </si>
  <si>
    <t>Pantin / Plaine commune</t>
  </si>
  <si>
    <t>Etude de stationnement, des déplacements véhicules et piétons, usage des mails piétons</t>
  </si>
  <si>
    <t>AU-V4C-11</t>
  </si>
  <si>
    <t>Etude patrimoine bailleur : Diagnostic bâti</t>
  </si>
  <si>
    <t>Diagnostic bâti : Les bâtiments du secteur datent des années 1960 et 1970 (à l’exception du 18 rue André Karman) et sont pour la plupart des tours._x000D_
 _x000D_
Les principaux axes identifiés aujourd'hui sont la vétusté des équipements et la performance énergétique des bâtiments. Appuyé sur l'analyse du Plan Stratégique de Patrimoine qui sera disponible à la fin de l'année 2015, l'OPH étudiera l'opportunité d'effectuer une réhabilitation sur ces ensembles, et aura besoin d'engager des études techniques complémentaires pour déterminer le programme de travaux.</t>
  </si>
  <si>
    <t>AU-V4C-12</t>
  </si>
  <si>
    <t>Etudes préalables : réhabilitation extension du centre d'hébergement pour femmes victimes de violences ( Main Tendue)</t>
  </si>
  <si>
    <t>Main Tendue</t>
  </si>
  <si>
    <t>Objectifs : _x000D_
- Confirmer la programmation jusqu'à la phase APD_x000D_
- Chiffrage de l'opération_x000D_
- Etudier l'impact de l'opération sur les documents de l'ASL de la dalle Villette_x000D_
 _x000D_
Etudes préalables : _x000D_
-Etude de faisabilité et de programmation_x000D_
-Etude de portance sur  la dalle en vue de l'extension et sur-élèvation</t>
  </si>
  <si>
    <t>AU-V4C-13</t>
  </si>
  <si>
    <t>AMO Coconstruction</t>
  </si>
  <si>
    <t>Organisation d'ateliers avec les habitants, associations, acteurs du quartier sur la définition du programme de NPNRU._x000D_
Formation des habitants sur les enjeux des études et d'un projet de rénovation urbaine._x000D_</t>
  </si>
  <si>
    <t>LA COURNEUVE</t>
  </si>
  <si>
    <t>CO-4MI-18</t>
  </si>
  <si>
    <t>Les 4000</t>
  </si>
  <si>
    <t>Diagnostic social secteur Convention</t>
  </si>
  <si>
    <t>Ville de la Courneuve</t>
  </si>
  <si>
    <t>Il s’agit de lutter contre les phénomènes qui favorisent la délinquance et qui détériorent la tranquillité des usagers et habitants du territoire. Par ailleurs, l’objectif de cette étude porte sur l’animation culturelle et sociale du quartier.</t>
  </si>
  <si>
    <t>CO-4MI-19</t>
  </si>
  <si>
    <t>Programmation Centre Culturel J Houdremont</t>
  </si>
  <si>
    <t>&gt; Equipement central, vétuste et conçu pour d’autres usages (salle des fêtes),_x000D_
&gt; Une programmation ambitieuse et un rayonnement culturel étendu,_x000D_
&gt; Une sur-occupation de l’équipement (services, médiathèque, centre culturel, associations, ateliers, cours…)_x000D_
 _x000D_
Objectifs NPNRU_x000D_
&gt; Etudes sur la viabilité/mutabilité à mener_x000D_
&gt; Restructurer le pôle_x000D_
 _x000D_
Objet : étude visant à définir une programmation pour les locaux du pôle de service publics_x000D_
ainsi que le ou les montages juridiques et financiers</t>
  </si>
  <si>
    <t>CO-4MI-20</t>
  </si>
  <si>
    <t>Diagnostics préalables (amiante et structure) Centre Culturel J Houdremont</t>
  </si>
  <si>
    <t>&gt; Equipement central, vétuste et conçu pour d’autres usages (salle des fêtes),_x000D_
&gt; Une programmation ambitieuse et un rayonnement culturel étendu,_x000D_
&gt; Une sur-occupation de l’équipement (services, médiathèque, centre culturel, associations, ateliers, cours…)_x000D_
 _x000D_
Objectifs NPNRU_x000D_
&gt; Etudes sur la viabilité/mutabilité à mener_x000D_
&gt; Restructurer le pôle_x000D_
 _x000D_
Objet : études techniques préalables à une reconversion du site</t>
  </si>
  <si>
    <t>CO-4MI-21</t>
  </si>
  <si>
    <t>Diagnostics préalables (amiante et structure) pôle équipements public</t>
  </si>
  <si>
    <t>&gt; Equipement central de 2200m² mais très dégradé et largement amianté _x000D_
&gt; Vers une occupation partielle (déménagement du CMS au centre ville)_x000D_
 _x000D_
Objectifs NPNRU_x000D_
&gt; Etudes sur la viabilité/mutabilité à mener_x000D_
&gt; Restructurer le pôle_x000D_
 _x000D_
Objet_x000D_
études techniques préalables à une reconversion du site</t>
  </si>
  <si>
    <t>CO-4MI-24</t>
  </si>
  <si>
    <t>Equipement scolaire à construire dans le cadre de l'opération  "KDI" en bordure des 4000sud dans le périmètre QPV._x000D_
Il accueillera une part de la population scolaire des 4000ouest en augmentation._x000D_
 _x000D_
L'étude doit permettre d'arrêter un programme, elle comprend les études de sols et de terrain.</t>
  </si>
  <si>
    <t>CO-4MI-25</t>
  </si>
  <si>
    <t>CO-4MI-02 / CO-4MI-01 / CO-4MI-25</t>
  </si>
  <si>
    <t>Etude de programmation urbaine secteur Mail de Fontenay (financement PNRU)</t>
  </si>
  <si>
    <t>Etudes financées par le PRU (déjà lancées)</t>
  </si>
  <si>
    <t>Etude de programmation urbaine, architecturale et paysagère suite à l’éventuelle démolition du bâtiment « Mail Maurice de Fontenay » _x000D_
 _x000D_
Mission d’architecte-urbaniste-paysagiste, BET technique et BET géothermique_x000D_
L’étude a pour objet la réalisation d’une programmation urbaine, architecturale et paysagère en vue de la démolition du bâtiment « Mail Maurice de Fontenay » situé au sud du quartier des Clos, à la limite du secteur du centre urbain de la Tour,au sein de la ZAC de la Tour à La Courneuve (4000 Ouest), à proximité du RER B, du T1, de la RN301 et la RN2. _x000D_
 Cette étude vise à : _x000D_
- Définir des options programmatiques et à en évaluer les conséquences spatiales, architecturales, opérationnelles et financières afin de préciser un programme de travaux amenagement global (construction, aménagement d’espaces publics, etc.)suite à la démolition du bâtiment Mail de Fontenay._x000D_
- Définir le devenir de la chaufferie géothermique_x000D_
- Définir les sites pour la reconstitution de logements sociaux (périmètres : ville de La Courneuve élargi au territoire de Fort de l’Est/Saint Denis).</t>
  </si>
  <si>
    <t>CO-4MI-26</t>
  </si>
  <si>
    <t>CO-4MI-15 / CO-4MI-26</t>
  </si>
  <si>
    <t>Etude de programmation urbaine</t>
  </si>
  <si>
    <t>Mission BET technique. L'étude a pour objet de clarifier les accès, les flux (piétons + véhicules) au parking Convention._x000D_
Cette étude vise à améliorer le fonctionnement du parking Convention tant en terme de cheminement qu'en terme de sécurité</t>
  </si>
  <si>
    <t>PIERREFITTE-SUR-SEINE</t>
  </si>
  <si>
    <t>PI-JON-01</t>
  </si>
  <si>
    <t>Fauvettes / Joncherolles</t>
  </si>
  <si>
    <t>QP093036</t>
  </si>
  <si>
    <t>Diagnostic social copropriété Fauvettes</t>
  </si>
  <si>
    <t>Etude habitat Fauvettes fonctionnement)</t>
  </si>
  <si>
    <t>Le diagnostic social des Fauvettes doit permettre : _x000D_
- d’identifier la composition, les revenus et les besoins des ménages;_x000D_
- d'identifier les freins au relogement,  les délais de relogement et les besoins (typologie de logement, taux d’effort, souhait des familles)_x000D_
- de présenter de l’ensemble des besoins en matière de relogement et de son phasage (court, moyen ou long terme)</t>
  </si>
  <si>
    <t>PI-JON-02</t>
  </si>
  <si>
    <t>PI-JON-02 / PI-JON-06 / PI-JON-07</t>
  </si>
  <si>
    <t>Diagnostic technique Fauvettes</t>
  </si>
  <si>
    <t>Intervention sur les Fauvettes</t>
  </si>
  <si>
    <t>Compte tenu de l'état du patrimoine bâti, des équipements de sécurité et de confort (incendie, arrêt des ascenseurs etc); il convient de réaliser un diagnostic technique du bâtiment pour évaluer la nature et le montant des travaux d'urgence à faire pour garantir la sécurité des occupants de l'immeuble</t>
  </si>
  <si>
    <t>Subv ANAH</t>
  </si>
  <si>
    <t>PANTIN</t>
  </si>
  <si>
    <t>PA-V4C-01</t>
  </si>
  <si>
    <t>Etude pré-opéationnelle habitat indigne</t>
  </si>
  <si>
    <t>Est-Ensemble</t>
  </si>
  <si>
    <t>-diagnostic d'un échantillon représentatif d'immeubles_x000D_
-définition dune typologie d'immeubles et dune stratégie d'intervention par typologie_x000D_
-déclinaison du cadre opérationnel général d'inervention et des moyes à mobiliser (moyens humais, coûts,.….) et de la palette d'outils à mobiliser</t>
  </si>
  <si>
    <t>Coût HT : 120 000_x000D_
Subv ANAH : 60 000</t>
  </si>
  <si>
    <t>PA-V4C-02</t>
  </si>
  <si>
    <t>Etude de programmation équipements</t>
  </si>
  <si>
    <t>urbaine</t>
  </si>
  <si>
    <t>Ville de Pantin</t>
  </si>
  <si>
    <t>Evaluer limpact des constructions de logements sur la programmation des équipements dans le quartier à 5 / 10 / 15 / et 20 ans</t>
  </si>
  <si>
    <t>Coût HT : 60 000_x000D_
Subv ANRU : 30 000</t>
  </si>
  <si>
    <t>PA-V4C-03</t>
  </si>
  <si>
    <t>Etudes géotechnique</t>
  </si>
  <si>
    <t>Etudes permettant d'estimer le bilan des opérations dans les îlots mutables</t>
  </si>
  <si>
    <t>Coût HT : 40 000_x000D_
Subv ANRU : 20 000</t>
  </si>
  <si>
    <t>Etudes géomètre</t>
  </si>
  <si>
    <t>Etudes techniques préalables  la définition des projets des opérations</t>
  </si>
  <si>
    <t>PA-V4C-04</t>
  </si>
  <si>
    <t>Etude renforcement réseaux-enfouissement</t>
  </si>
  <si>
    <t>Coût HT : 35 000_x000D_
Subv ANRU : 17 500</t>
  </si>
  <si>
    <t>PA-V4C-05</t>
  </si>
  <si>
    <t>Diagnostic technique équipements</t>
  </si>
  <si>
    <t>Coût HT : 50 000_x000D_
Subv ANRU : 25 000</t>
  </si>
  <si>
    <t>PA-V4C-06</t>
  </si>
  <si>
    <t>Maison des projets</t>
  </si>
  <si>
    <t>Coût HT : 20 000_x000D_
Subv ANRU : 10 000</t>
  </si>
  <si>
    <t>PA-V4C-07</t>
  </si>
  <si>
    <t>Réseau de chaleur</t>
  </si>
  <si>
    <t>Est Ensemble</t>
  </si>
  <si>
    <t>Etude d'opportunité et modalités de raccordement d'un réseau de chaleur sur la ZAC éco-quartier Gare de Pantin des immeubles existants et neufs des Quatre Chemins, prioritairement à Pantin</t>
  </si>
  <si>
    <t>Coût HT : 40 000_x000D_
Subv CDC : 20 000</t>
  </si>
  <si>
    <t>CO-4MI-43</t>
  </si>
  <si>
    <t>Etude Franchissement de la A1 au Vieux Barbusse</t>
  </si>
  <si>
    <t>Etude déjà réalisée dans le cadre du PNRU._x000D_
 _x000D_
Etudier la création d'un large franchissement couvert de verdure au-dessus de l'A1, permettant d'amener le parc G.Valbon dans les 4000 nord et le Centre-Ville._x000D_
 _x000D_
Cette passerelle doit s'inscrire dans le projet urbain à long terme.</t>
  </si>
  <si>
    <t>Financement PNRU1</t>
  </si>
  <si>
    <t>STAINS</t>
  </si>
  <si>
    <t>ST-CSL-09</t>
  </si>
  <si>
    <t>Clos Saint-Lazare</t>
  </si>
  <si>
    <t>QP093048</t>
  </si>
  <si>
    <t>Etude de programmation locaux vides (square molière)</t>
  </si>
  <si>
    <t>OPH 93</t>
  </si>
  <si>
    <t>Avec l'abandon du projet de création de bureaux à destination de la CAF, cette étude a pour objet la définition d'un programme et le chiffrage d'une opération de restructuration du local de l'ancienne supérette du square Molière (2000 m² environ), qui se situe en plein cœur du quartier au sein de l'îlot stratégique du Square Molière.</t>
  </si>
  <si>
    <t>EPINAY-SUR-SEINE</t>
  </si>
  <si>
    <t>EP-ORG-01</t>
  </si>
  <si>
    <t>Orgemont</t>
  </si>
  <si>
    <t>QP093030</t>
  </si>
  <si>
    <t>EP-ORG-01 / EP-SOU-01</t>
  </si>
  <si>
    <t>Orgemont - Etude urbaine</t>
  </si>
  <si>
    <t>Etudes urbaines</t>
  </si>
  <si>
    <t>Historique : Cette étude s'inscrit dans la continuité du PRU1 d'Orgemont qui est notamment intervenu sur les espaces publics, avec la création d'un nouveau parc central et requalification de plusieurs voiries, et a permis d'accueillir des programmes de constructions neuves de logements diversifiés (logements sociaux, accessions à la propriété, foyer). Une étude urbaine a été menée en 2012 en préfiguration d'un éventuel nouveau programme de rénovation urbaine qu'il s'agit aujourd'hui de réinterroger et rendre opérationnel. _x000D_
 _x000D_
Objectifs : Sur un périmètre de 80ha accueillant environ 4500 logements, l’étude demandée doit permettre de définir un programme opérationnel qui a manqué pour le PRU 1, notamment en ce qui concerne les interventions sur les logements. Cette étude s'appuira sur des diagnostics techniques du patrimoine de logements, principalement celui d’ICADE.  De plus, l’arrivée de la TEN et du T8 implique une réflexion sur le pôle gare et l’accompagnement de la mise en place d’un transport lourd desservant le quartier, dans un contexte complexe (mutabilité foncière, accessibilité, question du parking d’intérêt régional,…)._x000D_
Il s'agira donc d'élaborer une stratégie urbaine d'ensemble adossée à une programmation réaliste s'appuyant sur un bilan financier permettant :_x000D_
- d'améliorer l’accessibilité de ce quartier appelé à être l’extension du Centre-ville en termes de développement,_x000D_
- de désenclaver les secteurs, clarifier les limites publiques et privées, _x000D_
- de générer une nouvelle attractivité, une nouvelle dynamique et offrir une nouvelle image au quartier,_x000D_
- de diversifier l’habitat, ce qui doit passer par des actions fortes sur le logement (démolitions – reconstructions), et de requalifier le patrimoine maintenu tant public que privé,_x000D_
- de restructurer l’offre commerciale et permettre le développement d’activités,_x000D_
- de répondre aux besoins en équipements, proposer un programme attractif d’espaces et d’équipements,_x000D_
- de viser l’efficacité énergétique et contribuer à la transition écologique des quartiers._x000D_
 _x000D_
Prestations attendues : actualisation du schéma d'ensemble, programme prévisionnel des constructions et faisabilité urbaine et architecturale, programme des aménagements et des équipements publics,  prescriptions urbaines, paysagères et architecturales, programme de restructuration des l'offres de logements (démolitions/reconstruction, nouvelles constructions, typologie des logements...), proposition de montage opérationnel. _x000D_
La mission prévoit une tranche conditionnelle de suivi urbain pour accompagner les projets des différentes maîtrises d'ouvrage qui sera à inscrire dans le cadre de la convention._x000D_
 _x000D_
Calendrier : Lancement de l'étude au premier semestre 2016.</t>
  </si>
  <si>
    <t>Bailleurs : au prorata du patrimoine</t>
  </si>
  <si>
    <t>EP-ORG-02</t>
  </si>
  <si>
    <t>Orgemont - études préopérationnelles copropriété Oberürsel</t>
  </si>
  <si>
    <t>Copro oberursel</t>
  </si>
  <si>
    <t>Placée sous administration judiciaire depuis 2010, la copropriété Oberürsel (composée de 30 étages) reste en grande difficulté.  Située au niveau du terminus du Tramway T8, elle est concernée par la réalisation d’espaces publics, et notamment pour l'aménagement d’un mail a minima piéton sur son parking afin de créer une liaison allant du parc Central d’Orgemont et de la rue de Strasbourg au terminus du Tramway.  Les limites nord de son foncier seraient aussi concernées. _x000D_
Les études doivent mener à :_x000D_
 - la définition d'une étude préopérationnelle copropriété et espaces extérieurs (compléter l'étude Habitat de 2014 y compris parking/stationnement) en lien avec l'étude urbaine._x000D_
 - la définition de la stratégie d'intervention, des outils de redressement de la copropriété et de mise en œuvre du projet urbain_x000D_
 - un estimatif des travaux de réhabilitation_x000D_
 - un chiffrage des interventions de suivi - animation et de mise en oeuvre du projet + calendrier_x000D_
 - la définition des modalités de mise en œuvre du projet global (droit de la copropriété, DUP…)</t>
  </si>
  <si>
    <t>subvention ANAH</t>
  </si>
  <si>
    <t>EP-ORG-04</t>
  </si>
  <si>
    <t>Finance</t>
  </si>
  <si>
    <t>Orgemont - Etude géomètre des locaux commerciaux</t>
  </si>
  <si>
    <t>Etude géomètre des locaux commerciaux</t>
  </si>
  <si>
    <t>Les locaux commerciaux situés le long de la rue Félix Merlin sont construits sur dalle, au niveau du parking de la copropriété Oberürsel. L'étude géomètre doit permettre de définir clairement les limites foncières préalablement à une intervention sur ces locaux.</t>
  </si>
  <si>
    <t>Partenaire de l'étude</t>
  </si>
  <si>
    <t>EP-ORG-05</t>
  </si>
  <si>
    <t>Orgemont - Diagnostic bâti - estimation travaux</t>
  </si>
  <si>
    <t>SARVILEP</t>
  </si>
  <si>
    <t>Ce diagnostic porte sur les 2214 logements patrimoine de la SARVILEP (Icade), dont les conditions de revente doivent être précisées. Ce patrimoine bâti n'a fait l'objet d'aucune intervention dans le cadre du PRU1._x000D_
En lien avec l'étude urbaine qui sera menée sur le quartier, l'objet de ce diagnostic sera dans un premier temps de définir l'état et le fonctionnement du bâti (structure, réseaux, déchets)._x000D_
Dans un second temps, il s'agira :_x000D_
 - d'établir une estimation affinée d'un programme de réhabilitation / démolition,_x000D_
-  de réaliser les études de sols (pollution, géotechnique) sur les sites appelés à reconstruction.</t>
  </si>
  <si>
    <t>Taux de participation de l'ANRU calculé sur la base d'un financement des 356 logements conventionnés à hauteur de 50% et de 1'858 logements déconventionnés à hauteur de 30%</t>
  </si>
  <si>
    <t>EP-ORG-06</t>
  </si>
  <si>
    <t>Opievoy</t>
  </si>
  <si>
    <t>L’atelier d’architecture, d’urbanisme et de paysage Treuttel-Garcias-Treuttel et associés, missionné en 2010, a produit un schéma directeur à long terme présenté aux partenaires fin 2011. TGT a présenté des orientations pour décliner ce schéma directeur dans des délais compatibles avec les échéances de l’ANRU. Ce scénario n’a été ni approfondi ni chiffré, ne disposant notamment pas des diagnostics techniques et sociaux nécessaires. Le patrimoine de l'OPIEVOY, "impacté" par ce schéma directeur, n'a pas fait l'objet de projet de rénovation urbaine dans le cadre du PRU1. Afin de venir compléter l'étude urbaine qu'il reste à mener sur le quartier et de définir un programme d'opération, il convient donc de mener des études pour : _x000D_
 _x000D_
- définir l'état du bâti,_x000D_
- diagnostic amiante,_x000D_
- estimer de manière affinée un programme de réhabilitation / démolition,_x000D_
avec également des études de sols (pollution, géotechnique) sur les sites appelés à reconstruction.</t>
  </si>
  <si>
    <t>EP-ORG-07</t>
  </si>
  <si>
    <t>Orgemont - Diagnostic réseaux (SARVILEP, Opievoy, Saiem)</t>
  </si>
  <si>
    <t>ASL</t>
  </si>
  <si>
    <t>Les espaces exterieurs du quartier Orgemont comportent un nombre important d'espaces privés à usage public. La gestion de ces espaces est confiée à une ASL par les trois principaux bailleurs propriétaires ( SARVILEP, OPIEVOY, SAIEM) et  les autres propriétaires (Commerces, copropriété)._x000D_
Sur les espaces exterieurs il s'agira de :_x000D_
 - définir l'état des réseaux (chauffage, concessionnaires) afin d'alimenter l'étude réseaux menée par Plaine Commune._x000D_
 - de réaliser une estimation de travaux, en lien avec le projet urbain.</t>
  </si>
  <si>
    <t>part ANRU : 50% pour les logements conventionnés de l'OPIEVOY, de la SAIEM et une partie de ceux de la SARVILEP (1'024 logements) et 30% pour les logements non-conventionnés (SARVILEP et square des Crédos- 1'918 logts )</t>
  </si>
  <si>
    <t>EP-ORG-08</t>
  </si>
  <si>
    <t>Orgemont - Diagnostic bâti - réseaux</t>
  </si>
  <si>
    <t>Maison du CIL</t>
  </si>
  <si>
    <t>Historique : Le patrimoine du secteur Gros Buisson a été racheté par Maison du CIL à Icade en 2012 et se compose de 495 logements répartis sur 10 bâtiments._x000D_
Une première remise à niveau du patrimoine a été engagée par le bailleur (mise aux normes de l’électricité, changement des menuiseries), dont les travaux devraient s’achever fin 2016._x000D_
 _x000D_
Objectifs : Préciser l’état du patrimoine afin de poursuivre l’amélioration du bâti en s’inscrivant dans le cadre du NPNRU._x000D_
 _x000D_
Prestations attendues : Afin de venir compléter l'étude urbaine qu'il reste à mener sur le quartier et de définir un programme d'opération, il convient donc de mener des études pour définir l'état du bâti et des espaces extérieurs (diagnostic amiante, réseau) et  estimer un programme d’actions sur le patrimoine. _x000D_
 _x000D_
Calendrier : lancement des études techniques au premier semestre 2016.</t>
  </si>
  <si>
    <t>Plusieurs marchés</t>
  </si>
  <si>
    <t>EP-ORG-09</t>
  </si>
  <si>
    <t>Orgemont - Diagnosic bâti - réseau Cité Jardin</t>
  </si>
  <si>
    <t>NOVIGERE</t>
  </si>
  <si>
    <t>Historique : située sur les communes  d’Argenteuil et d’Epinay sur Seine, la  Cité Jardin d'Orgemont a été construite en 1928 en réaction aux travers de l’industrialisation et sur des principes humanistes._x000D_
La présence d'un bailleur unique a permis le maintien d’une qualité urbaine. La protection et la valorisation de ce patrimoine social constitue un enjeu important. C’est pourquoi une étude réalisée par le Conseil Départemental de la Seine-Saint-Denis en 2008 a permis une analyse des typologies architecturales et un certain nombre de préconisations sur le parc de logements individuels. _x000D_
Depuis 2005, des réhabilitations ont été engagées sur quelques bâtiments de logements collectifs. Une intervention est désormais à prévoir sur les 127 pavillons, la démarche globale du projet consistant à valoriser le passé tout en s’intégrant à l’avenir et au projet global du quartier. Les bâtiments existants étant énergivores, le bailleur souhaite apporter un confort à ses locataires en isolant ces pavillons anciens (passage de l’étiquette G à l’étiquette C).  _x000D_
 _x000D_
Objectifs : Mieux connaitre l’état général du patrimoine, notamment mesurer sa performance énergétique et thermique, afin d’évaluer la stratégie patrimoniale à mettre en œuvre sur le secteur d’Epinay-sur-Seine et d’arbitrer sur le programme de réhabilitation envisagé, en lien avec le NPNRU du quartier d’Orgemont_x000D_
 _x000D_
Prestations attendues : Diagnostics amiantes et plombs. Diagnostics thermiques et relevés techniques nécessaires pour évaluer les possibilités d’intervention sur le bâti._x000D_
 _x000D_
Calendrier : Lancement des études techniques au 1er semestre 2016.</t>
  </si>
  <si>
    <t>EP-ORG-10</t>
  </si>
  <si>
    <t>Orgemont - Diagnostic amiante voies privées (SARVILEP, Opievoy, Saiem)</t>
  </si>
  <si>
    <t>Diagnostic amiante des voiries privées afin de chiffrer au mieux les opérations de requalification</t>
  </si>
  <si>
    <t>part ANRU calculée sur la base d'un financement de 50% pour les logements conventionnés de l'OPIEVOY, SAIEM et une partie de ceux de la SARVILEP ( 1'024 logts) et de 30% pour les logements non conventionnés (SARVILEP et square des Crédos- 1'918 logts )</t>
  </si>
  <si>
    <t>EP-ORG-11</t>
  </si>
  <si>
    <t>Orgemont - Diagnostic occupation sociale</t>
  </si>
  <si>
    <t>- enquête des compositions familiales, niveaux de ressources, taux d'effort, reste à vivre, analyse des pratiques, modes de stationnement…)_x000D_
 _x000D_
Selon les conclusions de l'étude urbaine :_x000D_
 - identification de besoins en accompagnement / relogements / MOUS relogement_x000D_
 - estimation de l'impact des travaux sur les loyers et charges</t>
  </si>
  <si>
    <t>EP-ORG-12</t>
  </si>
  <si>
    <t>Enquête sociale auprès des ménages des 404 logements de l'OPIEVOY ( composition familiale, niveau de ressources, taux d'effort, reste à vivre) permettant d'estimer l'impact des travaux sur les loyers et les charges.</t>
  </si>
  <si>
    <t>EP-ORG-13</t>
  </si>
  <si>
    <t>Orgemont - Enquête sociale 'Gros Buisson'</t>
  </si>
  <si>
    <t>Enquête sociale auprès des ménages et études des usages des espaces exterieurs de la résidence Gros Buisson.</t>
  </si>
  <si>
    <t>EP-ORG-14</t>
  </si>
  <si>
    <t>Orgemont - Diagnostic préopérationnel équipements Ville</t>
  </si>
  <si>
    <t>Ville d'Epinay-sur-Seine</t>
  </si>
  <si>
    <t>Historique : les équipements publics du quartier d’Orgemont datent pour la plupart de la construction du quartier dans les années 1960 et sont aujourd’hui obsolètes, particulièrement les équipements scolaires. La Ville d’Epinay est engagée depuis quelques années dans une démarche vertueuse dans la construction ou réhabilitation de ses bâtiments. En effet, la mise en place de son Agenda 21 a permis de mettre en avant la nécessité d’intégrer systématiquement dans ses programmes de travaux la dimension énergétique._x000D_
 _x000D_
Objectifs : Ces études préalables doivent indiquer les dispositions à mettre en œuvre pour réhabiliter et restructurer les équipements publics du quartier, leur positionnement dans le quartier et l’état du bâti. Pour préparer au mieux ces restructurations, il est nécessaire de s’appuyer sur des études exemplaires qui mettent en avant l’aspect durable et énergétique des réhabilitations. En lien avec l’étude urbaine, ces études permettront d’évaluer le mode d’intervention les plus approprié pour chaque équipement._x000D_
Sont notamment concernés les groupes scolaires (maternelle et primaire Jean-Jacques Rousseau 1 et 2 et son centre de loisirs, Anatole France primaire, Alexandre Dumas maternelle et primaire), le centre socioculturel Félix Merlin et son antenne rue d’Argenteuil, le gymnase Félix Merlin, soit au total une dizaine de bâtiments (7 écoles  + 1 centre socioculturel).  _x000D_
 _x000D_
Prestations attendues : _x000D_
Les études préalables devront donc respecter le schéma suivant pour chaque bâtiment : _x000D_
1ere phase : audit énergétique des bâtiments (suivant le cahier des charges de l’ADEME) :_x000D_
Etablissement des bilans énergétiques et des scénarii de travaux _x000D_
Evaluation de l’impact énergétique  suite à la réhabilitation _x000D_
2ème phase : Etude de faisabilité d’intégration d’énergies renouvelables _x000D_
3ème phase : Etablissement d’un programme de travaux  prenant en compte la part énergétique et les besoins intrinsèques liés à la vétusté du patrimoine et aux besoins de fonctionnement, et comprenant le chiffrage des différents  scénarii, l’appréciation de la durabilité de l’investissement et son impact sur la consommation énergétique._x000D_
 _x000D_
Calendrier : étude à lancer courant 2016</t>
  </si>
  <si>
    <t>EP-SOU-01</t>
  </si>
  <si>
    <t>La Source</t>
  </si>
  <si>
    <t>QP093031</t>
  </si>
  <si>
    <t>La Source - Etude urbaine</t>
  </si>
  <si>
    <t>Historique : Cette étude s'inscrit dans la continuité du premier PRU du quartier qui a notamment permis de remailler en espaces publics le secteur La Source, de requalifier l'offre d'équipements publics (scolaire, socio-culturelle) et d'entamer une modernisation de l'offre de logements qui doit être mise en œuvre d'ici la fin du PRU1 (PCH, Batiplaine, CAPS). Dans la perspective du NPNRU, des études de faisabilité sur certains secteurs ont montré des potentiels de mutation urbaine afin de poursuivre le désenclavement de l’ensemble du quartier (La Source - Les Presles), de conforter l'offre commerciale, de diversifier l'offre de logements et d'améliorer le fonctionnement urbain du quartier._x000D_
 _x000D_
Objectifs : L’étude urbaine pour le NPNRU vise l’élaboration d’une stratégie urbaine d'ensemble adossée à une programmation réaliste permettant :_x000D_
- d'améliorer l’accessibilité des secteurs et accroître la mobilité des habitants par un renforcement de l’ouverture et du maillage du quartier, _x000D_
- de répondre à une nouvelle dynamique de quartier, via la consolidation d’une centralité de quartier s’appuyant sur une restructuration commerciale et urbaine,_x000D_
- d'offrir une nouvelle image au quartier par les aménagements et des constructions neuves, _x000D_
- de diversifier l’habitat et proposer une mixité typologique de logements pour accompagner les parcours résidentiels,_x000D_
- de démolir les bâtiments, parties d’immeubles et ouvrages obérant la restructuration significative du quartier,_x000D_
- de viser l’efficacité énergétique et contribuer à la transition écologique des quartiers._x000D_
 _x000D_
La définition du schéma directeur se fera en articulation avec les objectifs du Plan de Sauvegarde du Clos des Sansonnets et l’étude urbaine de développement et de restructuration urbaine autour de la Gare d'Epinay-Villetaneuse et de la Route de Saint-Leu (développement à vocation majoritairement économique et programme de rénovation urbaine sur le quartier de Saint-Leu à Villetaneuse). _x000D_
Il servira ainsi de base pour les partenariats de projets avec les différents acteurs concernés (bailleurs, collectivités, copropriété), et permettra également de consolider les projets menés dans le cadre du PRU1 en les intégrant dans une nouvelle échelle de projet élargie à l'ensemble du quartier. _x000D_
 _x000D_
Prestations attendues :_x000D_
Diagnostic identifiant les potentiels et les opportunités urbaines, résidentielles, économiques et commerciales._x000D_
Définition d’un schéma d'ensemble, programme prévisionnel des constructions et faisabilités urbaines et architecturales, programme des aménagements et des équipements publics,  programme de restructuration de l'offre de logements (démolitions/reconstruction, nouvelles constructions, typologie des logements...), proposition de montage opérationnel, prescriptions urbaines, paysagères et architecturales. _x000D_
La mission comprend une tranche conditionnelle de suivi urbain pour coordonner et accompagner les projets des différentes maîtrises d'ouvrage dans l'optique d'un conventionnement futur._x000D_
 _x000D_
Calendrier : Lancement de l'étude au premier semestre 2016.</t>
  </si>
  <si>
    <t>EP-SOU-02</t>
  </si>
  <si>
    <t>La Source - Etude de concertation et communication - Réhabilitation de logements sociaux</t>
  </si>
  <si>
    <t>ICF La Sablière</t>
  </si>
  <si>
    <t>Dès la phrase pré-opérationnelle, ICF La Sablière souhaite :_x000D_
- définir les modalités de participation, d'information et de concertation des habitants en cohérence avec celles prévues par le projet de Renouvellemet Urbain,_x000D_
- actualiser et analyser les données socio-économiques,_x000D_
- échanger avec les habitants sur leurs attentes._x000D_
 _x000D_
L'ensemble de ces données participera à la définition des études de programmation et de faisabilité.</t>
  </si>
  <si>
    <t>EP-SOU-04</t>
  </si>
  <si>
    <t>La Source - Diagnostics techniques - logements sociaux</t>
  </si>
  <si>
    <t>Les espaces extérieurs du site d'ICF La Sablière ont été largement requalifiés et résidentialisés dans le cadre PRU1. Aujourd'hui, la question de la réhabilitation de ce patrimoine se pose notamment pour répondre aux nouvelles normes techniques actuelles : amiante, plomb, isolation thermique... et à l'évolution des attentes des locataires. Dans  ce contexte, la réflexion sur la programmation des travaux doit s'engager sur la base d'un éventail de diagnostics techniques permettant d'appréhender l'ensemble des dysfonctionnements du site (logements et parties communes), en adéquation avec les nouveaux enjeux énergétiques/environnementaux, et les attentes des locataires. Sur cette base,  un ou plusieurs scénarii (études  de faisabilité) seront proposés à l'ensemble des habitants, et des  partenaires du  NPNRU.</t>
  </si>
  <si>
    <t>EP-SOU-05</t>
  </si>
  <si>
    <t>La Source - Diagnostics techniques - rue du Commandant Louis Bouchet</t>
  </si>
  <si>
    <t>OGIF</t>
  </si>
  <si>
    <t>Le 38/50 Commandant Louis Bouchet est un bâtiment de 175 logements (avec 30% de logements vacants) situé sur le quartier de La Source - Les Presles. _x000D_
Non concerné par le PRU1, il s'agit ici de réaliser une étude en vue d'une réhabilitation complète des 175 logements avec résidentialisation et requalification des espaces extérieurs, avec toutefois une variante relative à la démolition d'une ou deux cages d'escaliers représentant 25 ou 50 logements. Le repositionnement des logements démolis se ferait rue Eugène  Delacroix (prolongement de l'allée des platanes). Une rétrocession du foncier libéré et de la voirie existante à Plaine Commune ou la Ville, en lien avec la requalification de la rue de la Justice, serait envisagée selon les conclusions de l'étude urbaine._x000D_
 _x000D_
L'étude est composée de diagnostics techniques : _x000D_
- diagnostics amiante - parties privatives, parties communes, enrobé_x000D_
- diagnostic déchets_x000D_
- diagnostic réseau / concessionnaires (alimentation eau froide, EDF / GDF), collecteurs eaux usées, pluviales, chauffage collectif gaz _x000D_
- diagnostic structure_x000D_
- relevé géomètre (topographie et réseaux)</t>
  </si>
  <si>
    <t>EP-SOU-06</t>
  </si>
  <si>
    <t>La Source - Diagnostics techniques parking silo et friches environnantes</t>
  </si>
  <si>
    <t>La configuration actuelle du parking silo est obsolète. Il est enclavé et représente une barrière physique et visuelle de l'ilot. En fonction des résultats des diagnotics techniques menés, ainsi que par l'étude urbaine, il pourrait être envisagé, d'une part, de le démolir, et d'autre part, de construire sur cette nouvelle emprise foncière  un programme de logements devant s'insérer dans un schéma global urbain cohérent de l'ilot. Pour cela, il est nécessaire de disposer d'éléments techniques factuels pour permettre d'envisager la stratégie la mieux adaptée, confirmer/adapter les éléments de programmation compte tenu de la spécificité du site, répondre aux demandes des habitants et du projet urbain. Sur cette base, un ou plusieurs scénarii (études de faisabilité) d'aménagement seront élaborés, en prenant en compte son environnement direct (friches adjacentes).</t>
  </si>
  <si>
    <t>EP-SOU-08</t>
  </si>
  <si>
    <t>Logement Francilien</t>
  </si>
  <si>
    <t>EP-SOU-09</t>
  </si>
  <si>
    <t>La Source - Diagnostics techniques - Centre commercial rue de la Justice</t>
  </si>
  <si>
    <t>Situé au cœur du quartier de La Source-Les Presles, le Centre commercial fait aujourd'hui l'objet de nombreux dysfonctionnements urbains. _x000D_
 _x000D_
L'étude doit permettre de voir dans quelle mesure une démolition complète du Centre commercial ou restructuration de celui-ci est envisageable. En cas de démolition, cela engendrerait des évictions partielles et transfert des commerçants, redimensionnement des cellules commerciales, modification du stationnement et étude d'une densification urbaine avec la construction des logements au-dessus du centre._x000D_
 _x000D_
Pour cela sont nécessaires : _x000D_
- une évaluation des indemnités d'éviction et des valeurs locatives par un cabinet expert _x000D_
- des diagnostics enrobé, réseaux, amiante - bâtiment, _x000D_
- un relevé géomètre _x000D_
 _x000D_
Cette étude se fera en lien avec l'étude commerce pilotée par Plaine Commune à l'échelle du quartier.</t>
  </si>
  <si>
    <t>EP-SOU-10</t>
  </si>
  <si>
    <t>La Source - Diagnostic occupation sociale</t>
  </si>
  <si>
    <t>Une enquête sociale permettra de prendre en compte, entre autres : la capacité financière  des habitants (ressources, reste à vivre)dans la définition du projet de réhabilitation du 38-50 Cdt Louis Bouchet ou de relogements dans une optique de diversité de l'habitat.</t>
  </si>
  <si>
    <t>EP-SOU-11</t>
  </si>
  <si>
    <t>Enquête sociale auprès des ménages des 587 logements d'ICF La Sablière :  composition familiale, niveau de ressources, taux d'effort, reste à vivre) permettant d'estimer l'impact des travaux sur les loyers et les charges.</t>
  </si>
  <si>
    <t>EP-TRAN-01</t>
  </si>
  <si>
    <t>AMO co-construction du projet avec les habitants</t>
  </si>
  <si>
    <t>Engagement d’une AMO pour la mise en place de la co-construction à l’échelle des 3 quartiers, comportant 2 phases : définition des modalités de la co-construction et l’animation de la co-construction.</t>
  </si>
  <si>
    <t>EP-TRAN-02</t>
  </si>
  <si>
    <t>Animation de la Maison des  projets</t>
  </si>
  <si>
    <t>La Ville d’Épinay-sur-Seine poursuivra l’accompagnement initié dans le cadre du premier programme de rénovation urbaine via la mise en place de différents outils et actions de communication via la maison des projets, tant imprimés (journal du projet, dépliants, plaquettes, flyers info-travaux, expositions, signalétique) que digitaux (site internet, réseaux sociaux) ou événementiels (visites de chantiers, inaugurations, réunions publiques)._x000D_
De plus, la Ville d’Épinay-sur-Seine mettra en place à compter de 2016 une interface sur son site internet permettant aux internautes de découvrir les projets urbains en 3D, afin de faciliter l'échange lors de la co-construction</t>
  </si>
  <si>
    <t>EP-TRAN-03</t>
  </si>
  <si>
    <t>EP-TRAN-03 / EP-TRAN-04</t>
  </si>
  <si>
    <t>Etude prospective sur les potentiels économiques et leurs leviers</t>
  </si>
  <si>
    <t>Etudes dev éco</t>
  </si>
  <si>
    <t>Historique : La prorogation des dispositifs d'exonération à Epinay (ZFU-Quartier Entrepreneur) a conduit à questionner l'impact de cet outil et plus largement à réinterroger les potentiels de développement économique à l'échelle des quartiers et de la ville.  Un diagnostic global a été initié. _x000D_
 _x000D_
Objectifs : Compléter le diagnostic réalisé et définir une stratégie et un programme d'actions en faveur du développement des activités et des emplois dans les quartiers et pour leurs habitants._x000D_
 _x000D_
Prestations attendues :  Expertise juridique, financière, économique pour définir les outils à mettre en oeuvre._x000D_
 _x000D_
Calendrier : Lancement de l'étude au premier semestre 2016.</t>
  </si>
  <si>
    <t>ILE SAINT-DENIS</t>
  </si>
  <si>
    <t>ISD-QSU-01</t>
  </si>
  <si>
    <t>QP093034</t>
  </si>
  <si>
    <t>Approfondissement de l'étude urbaine sur le Quartier Sud</t>
  </si>
  <si>
    <t>Historique_x000D_
Une étude urbaine, confiée en 2014/2015, à l’Atelier Albert Amar (architecture-urbanisme), Atelier de l’île (paysage), Bénédicte de Lataulade (sociologue), SARECO (mobilité/stationnement) et SETU (VRD), a défini un scénario d’aménagement pour le NPRU et une approche du chiffrage des interventions. _x000D_
Objet de l’étude _x000D_
Un approfondissement de cette étude vise à consolider le projet urbain et sa déclinaison opérationnelle qui doit : _x000D_
S’inscrire dans un territoire élargi, en prolongeant la dynamique de transformation en cours et en s’inscrivant dans les principes de l’éco quartier fluvial, _x000D_
Prendre en compte les enjeux paysagers du secteur, conquérir les berges de Seine via des continuités douces et paysagères_x000D_
Prendre appui sur les éléments patrimoniaux_x000D_
Prendre en compte la requalification du boulevard Marcel Paul pour concilier les dimensions routières et urbaines de la voie_x000D_
Conserver et réhabiliter le patrimoine du bailleur_x000D_
Proposer une réorganisation du stationnement selon le modèle de l’éco quartier fluvial et permettant la requalification de l’espace public_x000D_
Définir le programme de requalification des espaces publics, dans un souci de tranquillité publique et de lien social, _x000D_
Définir le programme de résidentialisation des espaces extérieurs_x000D_
Prestations attendues _x000D_
Consolidation du projet urbain et définition précise de la programmation urbaine, consolidation de la définition des espaces publics (profils, matériaux,…) et de la déclinaison opérationnelle (cahier de prescriptions urbaines, paysagères et architecturales, fiches de lots…), du phasage et du chiffrage du scénario retenu et des aménagements. _x000D_
 _x000D_
Calendrier _x000D_
Lancement de l’étude au premier semestre 2016_x000D_</t>
  </si>
  <si>
    <t>ISD-QSU-03</t>
  </si>
  <si>
    <t>Faisabilité réseau de chaleur</t>
  </si>
  <si>
    <t>SMIREC</t>
  </si>
  <si>
    <t>Fait partie du programme d'étude mais pas de demande de financement</t>
  </si>
  <si>
    <t>CO-4MI-01</t>
  </si>
  <si>
    <t>Etude urbaine secteur Vieux Barbusse (financement PNRU)</t>
  </si>
  <si>
    <t>Dans le cadre du PNRU des 4000 nord : principe d’aménagements du secteur Vieux Barbusse – Atelier Ruelle &amp; Berim._x000D_
L’étude vise à définir la mutation progressive du secteur Vieux Barbusse : phasage des démolitions/reconstruction et principes d’aménagement qui doivent prendre en compte : _x000D_
Les contraintes liées à la présence du Croult busé. La présence de l’eau est évoquée dans l’aménagement d’un jardin au cœur du quartier très paysagé et permettant la rétention éventuelle d’une partie des eaux pluviales._x000D_
la reconstitution progressive d’une offre de logements diversifiés entre collectifs et maisons de ville de manière à faire le lien entre les ensembles de collectifs (tour et barre des 4000 Nord, co-propriété de La Fontenelle) et le pavillonnaire plus ancien de la cité jardin et des quartiers proches. _x000D_
Les incertitudes quant à la manière dont sera réalisé le franchissement (emprise exacte, axe) et les incidences sur son environnement immédiat (talus, mur de soutènement, ...)._x000D_
Un phasage de démolition / reconstruction très progressif et permettant le fonctionnement des bâtiments le temps de la reconstruction (desserte, sécurité incendie, parking, ...)_x000D_
Une optimisation des modalités d’aménagement en conservant une partie de la desserte, des aires de parking._x000D_
Une attention à l’environnement du Vieux Barbusse et aux continuités avec ce qui l’entoure (possible liaison piétonne avec la cité jardin, prolongement du mail par les passages sous le «Petit Verlaine» pour des liaisons faciles vers les commerces, la Maison pour Tous et le groupe scolaire Robespierre_x000D_
L’étude proposera un plan de composition, un nouveau schéma de circulation, une nouvelle offre de stationnement, le phasage de la mutation progressive (démolition/reconstruction), et le rapport forme urbaine/espace extérieur. _x000D_
Avec le bâtiment petit Verlaine, le secteur d’étude comprend 480 logements (83, 85, 87, 91, 93 Barbusse, bâtiment tour).</t>
  </si>
  <si>
    <t>CO-4MI-02</t>
  </si>
  <si>
    <t>Etude urbaine secteur Robespierre (financement PNRU)</t>
  </si>
  <si>
    <t>Dans le cadre du PNRU des 4000 nord : Etude de faisabilité du secteur Robespierre suite à la démolition de la barre – Atelier Ruelle &amp; Berim._x000D_
L’emprise libérée par la démolition des 305 logements de la barre Robespierre permet de repenser la façade de l’avenue Henri Barbusse, l’environnement de la barre 49 Barbusse ainsi que le maillage d’entrée de quartier. _x000D_
Le scénario retenu en 2012 et développé depuis propose le déplacement de terrains de sport et une nouvelle offre de logements. Le déplacement des terrains de sport répond à une logique de recomposition urbaine. Cette offre reste la même que celle qui existe aujourd’hui mais elle est organisée de façon plus compacte. Le nouvel îlot sportif est envisagé comme un espace largement ouvert sur le Mail piéton, en liaison directe avec le groupe scolaire et d’un accès facile depuis la Maison pour Tous. Mis à distance des logements, les terrains de sport représentent désormais moins de nuisances pour les habitants. L’emprise libéré par le déplacement de ces terrains et la démolition de la barre permet la construction d’une nouvelle offre de logement qui vient redonner une façade urbaine au quartier sur l’avenue Henri Barbusse. _x000D_
La requalification de ce secteur inclut l’aménagement de la rue Robespierre ainsi que la résidentialisation du 49 Barbusse. _x000D_
L’étude vise à définir des nouveaux îlots de logements (dont parking semi enterré), des typologies variées, des circulations piétonnes et véhicules ainsi que des surfaces._x000D_
Les réseaux seront étudiés, particulièrement la géothermie.</t>
  </si>
  <si>
    <t>CO-4MI-03</t>
  </si>
  <si>
    <t>Mise à jour du projet urbain secteur Debussy : fiche de lots, schéma directeur des espaces publics et des réseaux, etc</t>
  </si>
  <si>
    <t>SEM Plaine Commune Développement</t>
  </si>
  <si>
    <t>Mise à jour des fiches de lots, schéma directeur des espaces publics et des réseaux, etc</t>
  </si>
  <si>
    <t>CO-4MI-04</t>
  </si>
  <si>
    <t>Etude de caractérisation des sols au secteur Debussy</t>
  </si>
  <si>
    <t>Le passé industriel du territoire de Plaine Commune a laissé de nombreuses traces de contamination des sols, aussi dans le cadre des projets urbains_x000D_
prestations attendues : _x000D_
mission G1 : Fourniture après investigation d'un rapport précisant pour le site étudié un modèle géologique préliminaire, les principales caractéristiques géotechniques , première identification des risques géotechniques majeurs et définition de certains principes généraux de construction envisageables.</t>
  </si>
  <si>
    <t>CO-4MI-05</t>
  </si>
  <si>
    <t>Diagnostic des réseaux existants au secteur Debussy</t>
  </si>
  <si>
    <t>Dans le cadre de l'engagement des nouvelles études urbaines sur les 14 quartiers d'intérêt national,il s'agit de disposer d'un support cartographique élaborée sur la base de levers topographiques actualisés dressés par géomètre. La maîtise d'ouvrage fournira une inspection télévisée des ouvrages d'assainissement,précisant le diagnostic du réseau.Le géomètre aura également pour mission  de reporter sur le lever topographique  le rescensement des divers réseaux après enquête auprès des concessionnaires afin d'établir le plan de coordination des réseaux divers.</t>
  </si>
  <si>
    <t>CO-4MI-06</t>
  </si>
  <si>
    <t>Diagnostic amiante des enrobés présents sur les voiries existantes</t>
  </si>
  <si>
    <t>Conformément à la réglementation en vigueur et notamment en vu de l'applicatione du décret N°2012-639 du 4 mai 2012 relatif aux risques d'exposition à l'amiante, il s'avère nécessaire de rechercher des matériaux susceptibles d'en contenir dans les matériaux  de voirie à base de produits bitumineux._x000D_
Prestations attendues : Reconnaissance par sondages destructifs des revêtements enrobés compris dans les périmètres des futurs espaces publics des projets urbains NPNRU;sondages conduits conformément à l'arrêté du 26 juin 2013, analyse des échantillons par laboratoire agréé,remise du rapportde mission de repérage.</t>
  </si>
  <si>
    <t>CO-4MI-07</t>
  </si>
  <si>
    <t>Faisabilité des dévoiements des réseaux sous l'immeuble Robespierre, au niveau de la cité  H. Barbusse, sur le pôle des services publics des 4000 ouest, le raccordement des programmes immobiliers des 4000 nord et des 4000 ouest</t>
  </si>
  <si>
    <t>Syndicat Mixte des Réseaux D'énergies Calorifiques</t>
  </si>
  <si>
    <t>CO-4MI-08</t>
  </si>
  <si>
    <t>Diagnostic technique mail de Fontenay (amiante, plomb, bâti, VRD)</t>
  </si>
  <si>
    <t>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t>
  </si>
  <si>
    <t>CO-4MI-09</t>
  </si>
  <si>
    <t>Enquête sociale pour démolition Mail de Fontenay</t>
  </si>
  <si>
    <t>L'estimation de la présence d'amiante et son ampleur dans le cadre d'une réhabilitation et d'une démolition est indispensable, dans la définition des projets de réhabilitation ou de relogements dans une optique de diversité de l'habitat .</t>
  </si>
  <si>
    <t>CO-4MI-11</t>
  </si>
  <si>
    <t>Etudes de faisabilité et fiches de lots/études technique (sols, pollution, géotechniques)</t>
  </si>
  <si>
    <t>Il s'agit ici de mener des études de faisabilité jusqu'à la constitution des fiches de lots, études de sols (dont pollution) et géotechniques sur les sites de reconstruction définis par l'étude urbaine du Mail de Fontenay. Ces études urbanistiques et techniques permettront d'établir un chiffrage réaliste de chaque opération de construction neuve de logements sociaux, qui prendra en compte l'état du foncier.</t>
  </si>
  <si>
    <t>CO-4MI-12</t>
  </si>
  <si>
    <t>Réhabilitation Musset- diagnostic thermique, façade, toiture</t>
  </si>
  <si>
    <t>Sur la base de l'étude thermique, l'étude de faisabilité va permettre de définir le projet de réhabilitation thermique en accord avec le projet de restructuration urbaine du quartier.</t>
  </si>
  <si>
    <t>CO-4MI-15</t>
  </si>
  <si>
    <t>Etude de programmation urbaine secteur Convention(schéma d'intention, réseaux, etc)</t>
  </si>
  <si>
    <t>Etude de programmation urbaine, architecturale et paysagère_x000D_
 _x000D_
Mission d’architecte-urbaniste-paysagiste, BET techniqueSur un secteur dense, central, récemment construit mais vivant mal et où le traffic favoriser par la configuration des lieux empêche les usagers/résidents de circuler, habiter, stationner ou accéder aux commerces  librement._x000D_
Cette étude vise à:_x000D_
- améliorer la qualité de l'espace public_x000D_
- reprendre les circulations_x000D_
- penser la relation aux quartiers en mutations alentours_x000D_
- devenir des coques commerciales de la Cour des Maraîchers</t>
  </si>
  <si>
    <t>CO-4MI-17</t>
  </si>
  <si>
    <t>Etude d'opportunité socio-économique du pôle de services publics</t>
  </si>
  <si>
    <t>&gt; Equipement central de 2200m² mais très dégradé et largement amianté _x000D_
&gt; Vers une occupation partielle (déménagement du CMS au centre ville)_x000D_
 _x000D_
Objectifs NPNRU_x000D_
&gt; Etudes sur la viabilité/mutabilité à mener_x000D_
&gt; Restructurer le pôle_x000D_
 _x000D_
Objet_x000D_
étude visant à définir une programmation pour les locaux du pôle de service publics_x000D_
ainsi que le ou les montages juridiques et financiers</t>
  </si>
  <si>
    <t>PI-JON-03</t>
  </si>
  <si>
    <t>Etude programmation équipements publics</t>
  </si>
  <si>
    <t>Ville de Pierrefitte</t>
  </si>
  <si>
    <t>Le quartier plus large que le NPNRU en lien avec la ZAC Valles va subir des transformations nouvelles avec des démolitions et des (re)constructions de logements._x000D_
Deux réflexions sont nécessaire, la première porte sur le dimensionnement des équipements publics (notamment scolaires) pour qu'ils puissent répondre aux besoins. La seconde portera plus sur la localisation de ces équipements._x000D_
Aucune étude n'a été menée en ce sens à ce jour.</t>
  </si>
  <si>
    <t>PI-JON-04</t>
  </si>
  <si>
    <t>Etude stratégique (Fauvettes/Joncherolles)</t>
  </si>
  <si>
    <t>La première étude menée pour candidater au NPNRU date de mars 2014. _x000D_
 _x000D_
Des évolutions récentes (arrivée d'un promoteur, démolition de la locomotive commerciale Darty, démolition / reconstruction partielle du foyer ADOMA…) amènent a mener une étude stratégique qui tiendra compte de l'ambition que pourra donner le règlement financier de l'ANRU : intervention sur l'habitat privé, démolition d'équipements publics..._x000D_
 _x000D_
Cette étude stratégique portera sur un périmètre élagi à ue partie du secteur Vallès, notamment le secteur dédié à la reconstructio de logements sociaux ou privés pour les méages des Fauvettes. Elle aura aussi pour objet de réinterroger le plan masse initial au regard des préconisations issues de l’étude commerce et activités et de l’étude Bien être dans l’espace public._x000D_
 _x000D_
Elle permettra de réajuster les choix initiaux en fonction des résultats de la démarche de concertation.</t>
  </si>
  <si>
    <t>PI-JON-05</t>
  </si>
  <si>
    <t>Maison de projets travaux</t>
  </si>
  <si>
    <t>Au sein des locaux de l’ex-Maison de la culture et des loisirs (MCL), la Ville envisage la création d’un nouveau centre social (dont la mission de préfiguration est en cours de lancement)._x000D_
La Ville prévoit des travaux pour une remise aux normes des locaux ._x000D_
 _x000D_
L’installation d’une Maison du projet étant préférable au sein d’un équipement municipal de proximité, les locaux du futur centre social paraissent le plus adapté pour accueillir la Maison du projet. Les travaux d’aménagement de la Maison du projet seront réalisés par la Ville, concomitamment aux travaux de remise aux normes déjà prévus .</t>
  </si>
  <si>
    <t>PI-JON-06</t>
  </si>
  <si>
    <t>Accompagnement et suivi des travaux d'urgence copropriété</t>
  </si>
  <si>
    <t>Mission de maîtrise d’œuvre comprenant notamment :_x000D_
 _x000D_
La rédaction des cahiers des charges de travaux_x000D_
La rédaction du DCE_x000D_
L’analyse des offres des entreprises_x000D_
Le suivi des travaux</t>
  </si>
  <si>
    <t>PI-JON-07</t>
  </si>
  <si>
    <t>Etude de faisabilité technique et financière de trois scénarii (Fauvettes)</t>
  </si>
  <si>
    <t>Mission d’assistance à maîtrise d’ouvrage comprenant :_x000D_
 _x000D_
Un volet financier : mise en place et suivi du préfinancement de la subvention ANAH, la recherche de financements complémentaires pour alléger les reste à charge_x000D_
Un volet technique : le pilotage de la mission de maitrise d’oœuvre</t>
  </si>
  <si>
    <t>PI-LPA-01</t>
  </si>
  <si>
    <t>Lafargue / Parmentier</t>
  </si>
  <si>
    <t>Etude d'occupation sociale</t>
  </si>
  <si>
    <t>OSICA</t>
  </si>
  <si>
    <t>Dans le cadre des opérations à engager (orientation vers une démolition totale des immeubles Lafargue / Parmentier), nécessité de connaitre l'occupation sociale pour identifier :_x000D_
 _x000D_
La composition et les revenus des ménages_x000D_
Les besoins en relogement (typologie de logement, taux d’effort, souhait des familles).</t>
  </si>
  <si>
    <t>PI-LPA-02</t>
  </si>
  <si>
    <t>Etude technique pour démolition</t>
  </si>
  <si>
    <t>Dans le cadre des opérations à engager (orientation vers une démolition totale des immeubles Lafargue / Parmentier), nécessité de mener des diagnostics techniques complémentaires.</t>
  </si>
  <si>
    <t>PI-LPA-03</t>
  </si>
  <si>
    <t>il manque une étude dite étude urbaine pour définir les orientations globales du projet (plan masse)</t>
  </si>
  <si>
    <t>SAINT-DENIS</t>
  </si>
  <si>
    <t>SD-CVI-01</t>
  </si>
  <si>
    <t>QP093039</t>
  </si>
  <si>
    <t>SD-CVI-01 / SD-CVI-03 / SD-CVI-08</t>
  </si>
  <si>
    <t>Etude urbaine et économique Secteur Basilique</t>
  </si>
  <si>
    <t>Etudes urbaine centre ville</t>
  </si>
  <si>
    <t>En tenant compte de la précedente étude, l'équipe retenue doit travailler un projet intégré qui conjugue les thématiques sociales, d'offre d'habitat, de réorganisation et de développement d'équipements publics, de refonte de l'architecture commerciale._x000D_
 _x000D_
- Phase 1 : Diagnostic propsectif et propositions d'interventions prioritaires_x000D_
- Phase 2 : Déclinaison et chiffrage des actions prioritaires</t>
  </si>
  <si>
    <t>étude déjà lancée</t>
  </si>
  <si>
    <t>SD-CVI-02</t>
  </si>
  <si>
    <t>Etude sociologique sur les îlots résidentialisés</t>
  </si>
  <si>
    <t>Ville de Saint-Denis</t>
  </si>
  <si>
    <t>Dans la perspective d'une précédente étude sociologique sur les parcours résidentiels et la vie sociale du secteur Basilique réalisé par des étudiants en sociologie, cette étude vise à analyser l'appropriation des résidentialisations par les habitants._x000D_
 _x000D_
Cette étude menée par des étudiants en sociologie, premettra de dresser un bilan des résidentialisations et les leçons à tirer pour l'amélioration des résidentialisations existantes et la réalisation des futures.</t>
  </si>
  <si>
    <t>Etude déjà réalisée hors subventions</t>
  </si>
  <si>
    <t>SD-CVI-03</t>
  </si>
  <si>
    <t>Définition d'un programme d'intervention sur l'espace public</t>
  </si>
  <si>
    <t>A la lecture des dysfonctionnements et des problèmes d'usage de l'espace public, un programme d'intervention sur l'espace public devra être mené._x000D_
 _x000D_
Objectif : _x000D_
 _x000D_
Définir un programme cohérent de reprise de ces espaces, et les chiffrer.</t>
  </si>
  <si>
    <t>SD-CVI-04</t>
  </si>
  <si>
    <t>SD-CVI-04 / SD-CVI-05 / SD-FMO-04</t>
  </si>
  <si>
    <t>Plan merchandisage ensemble centre-ville</t>
  </si>
  <si>
    <t>Etude de développement économique</t>
  </si>
  <si>
    <t>Il est prévu de décliner le schéma commercial élaboré à l’échelle du centre-ville de manière à élaborer un véritable plan de marchandisage, cellule par cellule.</t>
  </si>
  <si>
    <t>Valorisation financements PNRQAD (études déjà lancées)</t>
  </si>
  <si>
    <t>SD-CVI-05</t>
  </si>
  <si>
    <t>Etude de préfiguration d'une Foncière commerce</t>
  </si>
  <si>
    <t>La redynamisation commerciale du centre-ville passe par la maîtrise de locaux stratégiques. _x000D_
 _x000D_
Un besoin de portage d’une centaine de locaux commerciaux, ciblés dans le centre-ville de Saint-Denis, a été identifié.</t>
  </si>
  <si>
    <t>SD-CVI-08</t>
  </si>
  <si>
    <t>Suivi de l'étude urbaine</t>
  </si>
  <si>
    <t>Cette étude permettra de compléter le diagnostic patrimonial, architectural, urbain et paysager si nécessaire et de mettre en oeuvre un projet urbain et paysager en fonction des orientations des précedentes études urbaines.</t>
  </si>
  <si>
    <t>SD-CVI-09</t>
  </si>
  <si>
    <t>étude circulations piétonnes îlot 9</t>
  </si>
  <si>
    <t>Antin résidences</t>
  </si>
  <si>
    <t>L'îlot 9, du fait de sa composition architecturale souffre d'une complexité en termes de circulation piétonne._x000D_
 _x000D_
Une étude permetterait d'appréhender ces circulations afin de mieux les maîtriser/orienter</t>
  </si>
  <si>
    <t>AU-EMA-21</t>
  </si>
  <si>
    <t>Etude en vue de la démolition reconstruction du foyer de travailleurs migrants situé rue de l'Abeille</t>
  </si>
  <si>
    <t>Adoma</t>
  </si>
  <si>
    <t>Etude en vue de la démolition reconstruction du foyer de travailleurs migrants comprenant ( une assistance à maîtrise d'ouvrage, des diagnostics techniques et des honoraires de maîtrises d'œuvre). L'objectif à terme est de démolir de manière phasée 241 chambres et de reconstituer 241 studios sur le foncier disponible tout en effectuant une cession du foncier restant, en vue du projet restant à déterminer dans le cadre de l'étude urbaine notamment.</t>
  </si>
  <si>
    <t>Financement ANRU et ADOMA</t>
  </si>
  <si>
    <t>EP-SOU-16</t>
  </si>
  <si>
    <t>PCH</t>
  </si>
  <si>
    <t>Diagnostic occupation sociale bâtiment K</t>
  </si>
  <si>
    <t>Diagnostic Social</t>
  </si>
  <si>
    <t>Une enquête sociale permettra de prendre en compte, entre autres, la capacité financière  des habitants (ressources, reste à vivre) dans la définition des projets de réhabilitation ou de relogements dans une optique de diversité de l'habitat .</t>
  </si>
  <si>
    <t>CO-4MI-39</t>
  </si>
  <si>
    <t>Diagnostic social au secteur Vieux Barbusse (avec petit Verlaine et 75/81 av. Barbusse - 444 lgts</t>
  </si>
  <si>
    <t>SD-CVI-11</t>
  </si>
  <si>
    <t>études techniques îlots 5 et 6 (themrqies, réseaux, OM, parking</t>
  </si>
  <si>
    <t>Toit et Joie</t>
  </si>
  <si>
    <t>Ces études permettront de :_x000D_
 _x000D_
- Trouver des solutions adaptées au problème de stockage et collecte des OM_x000D_
- Analyser les besoins et usages des parkings afin de résoudre les problèmes de vacance et d'insécurité dans ces équipements</t>
  </si>
  <si>
    <t>SD-CVI-12</t>
  </si>
  <si>
    <t>accompagnement appropriation résidentialisation</t>
  </si>
  <si>
    <t>Toit et Joie a procédé à une résidentialisation il y a deux ans._x000D_
 _x000D_
Cette étude permettra l'évaluation du dispositif mais aussi l'accompagnement du bailleur sur la mise en œuvre des conclusions des groupes de travail GUP, du travail spécifique sur l'étude patrimoniale effectuée par des étudiants en architecture préparant leur HMO et suite à la définition des orientations urbaines et sociales.</t>
  </si>
  <si>
    <t>SD-CVI-13</t>
  </si>
  <si>
    <t>exposition / mobilisation habitante sur le patrimoine architectural</t>
  </si>
  <si>
    <t>Accompagnement exposition patrimoine architectural</t>
  </si>
  <si>
    <t>Plaine Commune / Ville de Saint-Denis</t>
  </si>
  <si>
    <t>La ZAC Basilique, emblématique de l'"architecture proliféranre", a été pensée et construite par des architectes de renom. _x000D_
 _x000D_
Ce patrimoine architectural mais aussi l'idéologie portée par ses concepteurs (en termes de mixité sociale, d'usage des espaces publics, de mixité fonctionnelle...) seront présentés dans une exposition organisée en collaboration avec les habitants._x000D_
 _x000D_
Elle sera l'occasion de sensibiliser les habitants au patrimoine architectural dans lequel ils vivent et de recueillir leurs retours d'expérience pour mieux entamer et orienter la rénovation urbaine du secteur.</t>
  </si>
  <si>
    <t>Groupement de commande</t>
  </si>
  <si>
    <t>SD-CVI-14</t>
  </si>
  <si>
    <t>Mise en place d'un dispositif de GUP Secteur Basilique</t>
  </si>
  <si>
    <t>Assistance à la mise en place d'une stratégie de gestion urbaine de proximité  sur ce secteur connaissant de nombreux problèmes de gestion.</t>
  </si>
  <si>
    <t>SD-CVI-15 / 
SD-CVI-16</t>
  </si>
  <si>
    <t>AMO concertation</t>
  </si>
  <si>
    <t>Aide à la mise en place de la concertation et de ses modalités d'organisations</t>
  </si>
  <si>
    <t>SD-CVI-17</t>
  </si>
  <si>
    <t>SD-CVI-17 / SD-FMO-03 / SD-FSC-01</t>
  </si>
  <si>
    <t>Maison du projet</t>
  </si>
  <si>
    <t>Financement animation, fonctionnement, aménagement d'un équipement dédié ou d'un espace dédié dans un équipement de proximité existant</t>
  </si>
  <si>
    <t>SD-CVI-18</t>
  </si>
  <si>
    <t>SD-CVI-18 / SD-FMO-08 / SD-FSC-05</t>
  </si>
  <si>
    <t>Budget reservé pour les futurs conseils citoyens, pour financer leurs propres expertises indépendantes</t>
  </si>
  <si>
    <t>SD-CVI-19</t>
  </si>
  <si>
    <t>Optimisation des modes de stockage et de collecte déchets ménager</t>
  </si>
  <si>
    <t>Etudes techniques (espaces publics, ouvrage et déchets)</t>
  </si>
  <si>
    <t>Au regard des problèmes de gestion des ordures ménagères, une étude mutualisée permettra de cibler les différents problèmes et d'y apporter une réponse adéquate</t>
  </si>
  <si>
    <t>Répartition bailleurs à définir</t>
  </si>
  <si>
    <t>SD-CVI-INF</t>
  </si>
  <si>
    <t>Etude sociologique parcours résidentiels et vie sociale</t>
  </si>
  <si>
    <t>Cette étude, achevée en avril 2015, visait à étudier les parcours résidentiels des habitants du secteur Basilique et à évaluer leur cohabitation et les formes de vie sociale en jeu</t>
  </si>
  <si>
    <t>Etude lancée hors subventions</t>
  </si>
  <si>
    <t>SD-FMO-02</t>
  </si>
  <si>
    <t>Franc Moisin</t>
  </si>
  <si>
    <t>Etude dimensionnement d'ouvrage dalle place rouge et rampe d'accès parking souterrain</t>
  </si>
  <si>
    <t>Etude dimensionnement place rouge et rampe d'accès parking</t>
  </si>
  <si>
    <t>Plaine Commune / PCH</t>
  </si>
  <si>
    <t>Diagnostic portant sur la dalle place rouge et la rampe d'accès parking._x000D_
 _x000D_
Celui-ci permettra de définir la faisabilité et le coût du  projet de  voirie publique qui doit traverser le quartier sur un axe nord/sud reliant le cours du rû de Monfort à l'avenue Francis de Pressensé</t>
  </si>
  <si>
    <t>SD-FMO-03</t>
  </si>
  <si>
    <t>SD-FMO-04</t>
  </si>
  <si>
    <t>Stratégie développement économique</t>
  </si>
  <si>
    <t>Le secteur "Charcuteries gourmanses/ France Pain/ Espace Bel Air, se caractérise par une grande pluralité d'activités et d'importantes emprises foncière disponibles à court et moyen terme._x000D_
 _x000D_
Situé dans un secteur améné à muter avec l'arrivée du T8 et de la Gare des six routes, il est pointé comme un secteur de développement économique opportun._x000D_
 _x000D_
Dans le but de conforter et d'amplifier la vocation de développement économique existante, cette étude permettrait d'établir une stratégie ambitieuse et cohérente.</t>
  </si>
  <si>
    <t>etude à lancer avant signature protocole</t>
  </si>
  <si>
    <t>SD-FMO-05</t>
  </si>
  <si>
    <t>SD-FMO-01 / SD-FMO-06 / SD-FMO-07 / SD-FMO-05</t>
  </si>
  <si>
    <t>Actualisation plan de marchandisage + chiffrage pôle commercial</t>
  </si>
  <si>
    <t>Etudes urbaines Franc Moisin</t>
  </si>
  <si>
    <t>Il est prévu de décliner le schéma commercial élaboré à l’échelle quartier Francs Moisin de manière à élaborer un véritable plan de marchandisage, cellule par cellule.</t>
  </si>
  <si>
    <t>SD-FMO-06</t>
  </si>
  <si>
    <t>Préparation montage opérationnel et juridique projet d'ensemble</t>
  </si>
  <si>
    <t>Assistance au montage juridique et opérationnel du projet.</t>
  </si>
  <si>
    <t>SD-FMO-07</t>
  </si>
  <si>
    <t>Mission AMO stratégie et programmation équipements et associations</t>
  </si>
  <si>
    <t>Assistance à la mise en place d'une stratégie en matière d'implantation/maintien/ relocalisation d'associations et d'équipements._x000D_
 _x000D_
- Connaissance plus fine de l’offre d’équipements et et des publics concernés._x000D_
- Prévision des coûts de gestion et de fonctionnement des équipements._x000D_
- Etudier les besoins des associations du quartier.</t>
  </si>
  <si>
    <t>SD-FMO-08</t>
  </si>
  <si>
    <t>Budget reservé pour les futurs conseils citoyens, pour financer leur propre expertise indépendante</t>
  </si>
  <si>
    <t>SD-FMO-09</t>
  </si>
  <si>
    <t>Etudes évolutions patrimoniales</t>
  </si>
  <si>
    <t>Logirep</t>
  </si>
  <si>
    <t>Etudes diverses sur le patrimoine du bailleur permettant de définir un programme de travaux</t>
  </si>
  <si>
    <t>SD-FMO-10</t>
  </si>
  <si>
    <t>Diagnostics techniques</t>
  </si>
  <si>
    <t>Diagnostics techniques portant sur le patrimoine du bailleur, qui permettront de définir un programme et un coût de travaux</t>
  </si>
  <si>
    <t>SD-FMO-11</t>
  </si>
  <si>
    <t>Diagnostic et études préalables à la réhabiltation Clos saint-Quentin (132-138 rue Danièlle Casanova)</t>
  </si>
  <si>
    <t>Diagnostics techniques portant sur le patrimoine du bailleur, qui permettront de définir un programme et un coût de travaux de réhabilitation</t>
  </si>
  <si>
    <t>SD-FSC-01</t>
  </si>
  <si>
    <t>Floréal / Saussaie / Courtille</t>
  </si>
  <si>
    <t>QP093040</t>
  </si>
  <si>
    <t>Financement  aménagement d'un équipement dédié ou d'un espace dédié dans un équipement de proximité existant et/ou d'un lieu mobile</t>
  </si>
  <si>
    <t>SD-FSC-02</t>
  </si>
  <si>
    <t>SD-FSC-02 / SD-FSC-03</t>
  </si>
  <si>
    <t>Etudes de capacités Floréal</t>
  </si>
  <si>
    <t>Etudes urbaines floréal saussaie courtille</t>
  </si>
  <si>
    <t>Dans la continuité de l'étude urbaine débutée en 2013 et achevée en 2015, cette étude vise à étudier les capacités de traduction des orientations dégagées sur le secteur Floréal en fonction des enjeux du quartier et des parcelles disponibles.</t>
  </si>
  <si>
    <t>Valorisation financement ANRU1</t>
  </si>
  <si>
    <t>SD-FSC-03</t>
  </si>
  <si>
    <t>Plan de référence / Programmation urbaine</t>
  </si>
  <si>
    <t>S'appuyant sur les orientations de l'étude urbaine (2013-2015) et de l'étude de capacité Floréal, l'objectif est d'établir un schéma directeur et une programmation urbaine cohérente._x000D_
 _x000D_
- Traitement de l'entrée ouest du quartier_x000D_
- Programmation sur les parcelles disponibles_x000D_
- Aménagement des espaces publics_x000D_
- Projet urbain sur Floréal Est_x000D_
- Volet paysager incluant un plan de gestion et de préservation du patrimoine végétal_x000D_
 _x000D_
Ce shéma se déclinera dans une deuxième phase en secteurs opérationnnels.</t>
  </si>
  <si>
    <t>Part bailleur = PCH</t>
  </si>
  <si>
    <t>SD-FSC-04</t>
  </si>
  <si>
    <t>Mission AMO architecture commerciale (pôle commercial de proximité basilique)+AMO gestion locative</t>
  </si>
  <si>
    <t>Au regard du dysfonctionnement du pôle commercial, OSICA souhaite solliciter les comptétences de bureaux détudes spécialisés en architecture commerciale et gestion des commerces</t>
  </si>
  <si>
    <t>Part bailleur = OSICA</t>
  </si>
  <si>
    <t>SD-FSC-05</t>
  </si>
  <si>
    <t>SAINT-OUEN</t>
  </si>
  <si>
    <t>SO-COR-01</t>
  </si>
  <si>
    <t>QP093044</t>
  </si>
  <si>
    <t>Etude espace public articulation Cordon / Centre Ville</t>
  </si>
  <si>
    <t>Etudes préalables _x000D_
Etude préalable de requalification des espaces publics pour accompagner l’arrivée de la L14 : La communauté d’Agglomération Plaine Commune a lancé en 2013 une étude sur le centre ville de Saint-Ouen qui a pour objet de pouvoir accompagner l’arrivée de la ligne 14 et de retrouver des liens interquartiers entre le Centre Ville, Cordon, Vieux Saint-Ouen, les Docks._x000D_
 _x000D_
Objectifs _x000D_
En lien avec l’étude urbaine, la mission aura pour objectif de proposer un aménagement de qualité des espaces publics depuis la cité Cordon jusqu’aux stations de métro et au centre ville de Saint-Ouen. _x000D_
Le principal objectif est de favoriser le raccrochage du quartier au centre ville. _x000D_
Une articulation avec l’étude du Département sur la RD sera nécessaire. _x000D_
 _x000D_
Prestations attendues _x000D_
Plan d’aménagement des espaces publics niveau AVP _x000D_
Prise en compte des accès parkings de la Patinoire et des abords /RDC de l’équipement, de la gestion des bus_x000D_
Plan paysager_x000D_
 _x000D_
Calendrier prévisionnel : démarrage avant la fin de l’étude urbaine pour assurer un travail itératif entre les prestataires.</t>
  </si>
  <si>
    <t>SO-COR-02</t>
  </si>
  <si>
    <t>Etude diagnostic technique du patrimoine bâti</t>
  </si>
  <si>
    <t>Un diagnostic technique du bâti permettra de disposer d'une connaissance précise de l'état du bâti afin de préciser le projet et ses modalités de mise en œuvre (démolition, réhabilitation, restructuration, requalification, etc.…). _x000D_
 _x000D_
Cette étude devra notamment prendre en compte le rapport bâti-espaces extérieurs et intégrer la perspective de mise en œuvre de solutions techniques couvrant aussi largement que possible les paramètres de baisse des charges, économie des ressources et préservation de l'environnement._x000D_
 _x000D_
Particulièrement, ce diagnostic devra aborder les aspects relatifs à l’enveloppe des immeubles, aux parties communes, aux logements ainsi qu’aux objectifs d’amélioration des performances thermiques. _x000D_
L’étude devra également comprendre un volet sur la typologie et le confort des logements ainsi que leurs potentiels d’adaptation aux besoins et évolutions des ménages.</t>
  </si>
  <si>
    <t>SO-COR-03</t>
  </si>
  <si>
    <t>Diagnostic social</t>
  </si>
  <si>
    <t>Une enquête sociale permettra de prendre en compte, entre autres, la capacité financière  des habitants (ressources, reste à vivre) dans la définition des projets de réhabilitation ou de relogements dans une optique de diversité de l'habitat_x000D_
 _x000D_
Historique: Aucun diagnostic social à ce jour_x000D_
 _x000D_
Objet de l'étude : Une enquête sociale comprenant un volet démographique, sociologique et économique permettant de clarifier les principaux enjeux sociaux dans la perspective d'un projet de renouvellement urbain.</t>
  </si>
  <si>
    <t>VSO-COR-01</t>
  </si>
  <si>
    <t>QP093046</t>
  </si>
  <si>
    <t>Etudes préalables _x000D_
Etude urbaine du quartier du Vieux Saint-Ouen et du Centre ville: La CAPC, en partenariat avec la Ville de Saint-Ouen et le bailleur Saint-Ouen Habitat Public, a confié en 2013 à l’Agence Catherine Tricot la réalisation d’une étude urbaine du quartier du Vieux Saint-Ouen dans son ensemble. L’objet de l’étude était de pouvoir définir la place du quartier dans la dynamique territoriale. L’équipe a également déterminé un périmètre plus restreint où les dysfonctionnements urbains se concentraient dans la perspective de l’ANRU. Cette étude est la base de départ des études urbaines pour le quartier NPNRU du VSO._x000D_
Etude préalable de requalification des espaces publics pour accompagner l’arrivée de la L14 : la CAPC a lancé en 2013 une étude sur le centre ville de Saint-Ouen qui a pour objet de pouvoir accompagner l’arrivée de la ligne 14 et de retrouver des liens interquartiers entre le Centre Ville, Cordon, Vieux Saint-Ouen, les Docks._x000D_
L’Ecoquartier des Docks, soutenu par l'État au titre du développement d'écoquartiers en Île-de-France et labellisé « Nouveaux Quartiers Urbains » par la Région Ile-de-France, s’implante sur un périmètre de 100 ha et est limitrophe au quartier du Vieux Saint-Ouen.  _x000D_
 _x000D_
Objectifs _x000D_
L’inscription du quartier dans le NPNRU a ouvert de nouvelles perspectives pour les quartiers du Vieux Saint-Ouen et Cordon La Motte Taupin. Pour le Vieux Saint-Ouen, il s’agit d’engager un travail plus fin, spécifiquement sur les îlots concernés par le NPNRU, pour aboutir à des scenarios de renouvellement urbain à une échelle plus restreinte que l’étude de Catherine Tricot._x000D_
Pour Cordon La Motte Taupin, il s’agit  également d’aboutir à un projet de renouvellement urbain à une échelle plus intégrée au centre ville de Saint-Ouen._x000D_
 _x000D_
Prestations attendues _x000D_
Le marché a été lancé dans le cadre d’une procédure adaptée restreinte. A l’issue de la consultation, les deux équipes d’architecte – urbaniste retenues proposeront une première vision urbaine traduite sous la forme d’une esquisse urbaine, paysagère et fonctionnelle. L’attributaire du marché sera en charge de la consolidation du projet urbain, de la programmation urbaine, de la définition des espaces publics et de la faisabilité du montage opérationnel des lots, du phasage et du chiffrage du scénario retenu et des aménagements (espace public). Cette étude intégrera le montage financier et opérationnel du projet urbain (marché séparé)._x000D_
 _x000D_
Calendrier prévisionnel _x000D_
L’attribution du marché est prévue en janvier 2016. L’étude se décompose en 3 temps dont une phase permettant au prestataire de s’approprier des résultats des études du protocole.</t>
  </si>
  <si>
    <t>VSO-COR-04</t>
  </si>
  <si>
    <t>Diagnostic sommaire des équipements dans le quartier</t>
  </si>
  <si>
    <t>Ville de Saint Ouen</t>
  </si>
  <si>
    <t>Objectifs _x000D_
De nombreux équipements sont présents dans les quartiers NPNRU, certains ont déjà fait l’objet de diagnostics réglementaires qu’il faut recenser. _x000D_
De plus, après les premières orientations de l'étude globale, les diagnostics sommaires sur l’état des équipements devront permettre d’alimenter la réflexion des études de programmation et de restructuration des équipements inscrits dans le protocole. _x000D_
 _x000D_
Prestations attendues :  _x000D_
Il s’agira pour les principaux équipements de la ville présents dans les quartiers (Groupe Scolaire Langevin, Groupe Scolaire Anatole France, maison de quartier, RDC de la Patinoire…) d’élaborer les études préalables pour la définition des interventions et des estimations financières : relevé géomètre, étude de sol, diagnostic pollution, diagnostic structure…_x000D_
 _x000D_
Calendrier : études à lancer courant 2016. Elles devront être lancées après les premières orientations de l’étude globale</t>
  </si>
  <si>
    <t>VSO-COR-05</t>
  </si>
  <si>
    <t>CPCU</t>
  </si>
  <si>
    <t>Historique _x000D_
Le quartier du Vieux Saint-Ouen est relié par la rue A. Dhalenne à l’écoquartier des Docks en cours de construction. Cette grande proximité est une opportunité pour le renouvellement du quartier et notamment pour viser les mêmes performances énergétiques et durables. _x000D_
Le quartier des Docks développe un réseau de chaleur qui sera à terme alimenté par un mix énergétique comprenant 70% d’énergies renouvelables. _x000D_
 _x000D_
Objectifs _x000D_
Il existe donc un réel intérêt à poursuivre cette réflexion afin que les quartiers NPNRU bénéficient également des avantages de ce réseau.  Par conséquent, il est pertinent de pouvoir vérifier la faisabilité d’un prolongement du réseau de chaleur afin de pouvoir desservir les quartiers _x000D_
 _x000D_
Prestations attendues _x000D_
Diagnostic de l’existant _x000D_
Scenarios et estimations du raccordement _x000D_
Evaluation du reste à vivre des habitants _x000D_
 _x000D_
Calendrier prévisionnel : début 2016</t>
  </si>
  <si>
    <t>MOA a confirmer</t>
  </si>
  <si>
    <t>VSO-COR-06</t>
  </si>
  <si>
    <t>Faisabilité CPOM</t>
  </si>
  <si>
    <t>Espaces publics et réseaux de collecte déchets ménagers</t>
  </si>
  <si>
    <t>Historique _x000D_
Le quartier du Vieux Saint-Ouen est relié par la rue A. Dhalenne à l’écoquartier des Docks en cours de construction. Cette grande proximité est une opportunité pour le renouvellement du quartier et notamment pour_x000D_
viser les mêmes performances énergétiques et durables. _x000D_
Le quartier des Docks développe notamment un réseau de collecte pneumatique des ordures ménagères._x000D_
 _x000D_
Objectifs _x000D_
Il existe donc un réel intérêt à poursuivre cette réflexion afin les quartiers NPNRU bénéficient également des avantages de ce réseau. Par conséquent, il est pertinent de pouvoir vérifier la faisabilité d’un prolongement du réseau de la  collecte pneumatique des OM afin de pouvoir desservir les quartiers. _x000D_
 _x000D_
Prestations attendues _x000D_
Diagnostic de l’existant _x000D_
Scenarios et estimations du raccordement _x000D_
Evaluation du gain pour les habitants, approche globale _x000D_
 _x000D_
Calendrier prévisionnel : début 2016</t>
  </si>
  <si>
    <t>ST-CSL-22_x000D_
ST-PRE-09_x000D_
ST-CSL-12</t>
  </si>
  <si>
    <t>accompagnement de la direction de projet sur les aspects développement durable, le volet innovant lié à l'AMI et la co-construction du projet NPNRU sur les 2 quartiers :_x000D_
 _x000D_
Trois volets sont attendus :_x000D_
 _x000D_
- un retour d'expérience du PRU, notamment sous langle du reste à vivre_x000D_
 _x000D_
- un diagnostic innovant et participatif des mobilités_x000D_
 _x000D_
- un accompagnement à la structuration et l'animation de la démarche AMI "ville durable et solidaire"_x000D_
 _x000D_
- un accompagnement à l'élaboration et l'animation du dispositif de co-construction, en lien avec les études urbaines_x000D_
 _x000D_
- l'élaboration et la rédaction des chartes d'objectifs et d'engagements, en déclinaison de la charte aménagement soutenable de Plaine Commune</t>
  </si>
  <si>
    <t>VSO-COR-07</t>
  </si>
  <si>
    <t>Etude de programmation et de restructuration des équipements publics de Saint-Ouen (VSO et CORDON)</t>
  </si>
  <si>
    <t>De nombreux équipements sont présents dans les quartiers NPNRU, certains ont déjà fait l’objet de diagnostics réglementaires qu’il faut recenser.  _x000D_
Actuellement la Ville de Saint-Ouen mène une étude sur l’analyse des besoins en équipements scolaires de 0 à 18 ans. Ces études orienteront donc les besoins en restructuration en équipements dans les quartiers. _x000D_
L’étude doit indiquer les dispositions à mettre en œuvre pour réhabiliter, restructurer ou reconstruire les équipements publics du quartier, selon les besoins, le positionnement dans le quartier (en lien avec les études urbaines) et l’état du bâti (diagnostics sommaires du bâti distingués des études de programmation). _x000D_
Prestations attendues _x000D_
Entreprendre une réflexion globale sur la programmation et le besoin en équipement dans le quartier avec la prise en compte des services administratifs présents dans le quartier : état des lieux des usages, des besoins et propositions sur la nature des travaux à réaliser en lien avec les diagnostics du bâti_x000D_
Elaborer les programmes des équipements : Groupe Scolaire Langevin, Groupe Scolaire Anatole France, RDC de la Patinoire…_x000D_
 _x000D_
Calendrier : l'étude globale devra être lancée en premier début 2016. Les études de programmation seront à mener dans un second temps (après les études techniques).</t>
  </si>
  <si>
    <t>Marchés séparés</t>
  </si>
  <si>
    <t>VSO-COR-08</t>
  </si>
  <si>
    <t>Maison du projet - investissement</t>
  </si>
  <si>
    <t>Financement 100% ville de Saint-Ouen en compensation de l'étude urbaine</t>
  </si>
  <si>
    <t>SAINT-OUEN/ILE SAINT DENIS</t>
  </si>
  <si>
    <t>SO-ISD-01</t>
  </si>
  <si>
    <t>St Ouen / Ile St Denis</t>
  </si>
  <si>
    <t>Diagnostic amiante / pollution / géotechniques / réseaux assainissement / relevés topographiques sur le foncier des bailleurs sociaux</t>
  </si>
  <si>
    <t>SOHP</t>
  </si>
  <si>
    <t>Sur le foncier des bailleurs sociaux : conformément à la réglementation en vigueur et notamment en vu de l'applicatione du décret N°2012-639 du 4 mai 2012 relatif aux risques d'exposition à l'amiante ,il s'avère nécessaire de rechercher des matériaux susceptibles d'en contenir dans les matériaux  de voirie à base de produits bitumineux._x000D_
 _x000D_
Prestations attendues :Reconnaissance par sondages destructifs des revêtements enrobés compris dans les périmètres des futurs espaces publics des projets urbains NPNRU;sondages conduits conformément à l'arrêté du 26 juin 2013, analyse des échantillons par laboratoire agréé,remise du rapportde mission de repérage._x000D_
 _x000D_
Le passé industriel du territoire de Plaine Commune a laissé de nombreuses traces de contamination des sols, aussi dans le cadre des projets urbains il apparaît nécessaire de diagnostiquer l'état de pollution des sols des futurs espaces publics définis dans les projets urbains.Objectifs: identification la lithologie des sols en place et identification d'une éventuelle contamination,réalisation conformément aux normes NF ISO10381-5 et NFX31-620_x000D_
 _x000D_
Prestations attendues : Reconnaissance par sondages,analyse en laboratoire des échantillons,élaboration du schéma conceptuel au regard des données acquises,élaboration du plan de gestion,rapport de synthèse._x000D_
La conduite de diagnostics géotechniques est une étape nécesssaire pour contribuer à la maîtrise des risques géotechniques dans les projets NPNRU._x000D_
 _x000D_
Prestations attendues : mission G1:Fourniture après investigation d'un rapport précisant pour le site étudié un modèle géologique préliminaire, les principales caractéristiques géotechniques , première identification des risques géotechniques majeurs et définition de certains principes généraux de construction envisageables. La maîtise d'ouvrage fournira une inspection télévisée des ouvrages d'assainissement,précisant le diagnostic du réseau. Le géomètre aura également pour mission  de reporter sur le lever topographique  le rescensement des divers réseaux après enquête auprès des concessionnaires afin d'établir le plan de coordination des réseaux divers.</t>
  </si>
  <si>
    <t>SO-ISD-02</t>
  </si>
  <si>
    <t>Une enquête sociale permettra de prendre en compte, entre autres, la capacité financière  des habitants (ressources, reste à vivre) dans la définition des projets de réhabilitation ou de relogements dans une optique de diversité de l'habitat . Pour le Quartier Sud : Historique : réalisation d'une enquête sociale sur la Cité Marcel Paul par LE FRENE en 2014                                                        _x000D_
Objet de l'étude : actualisation de l'enquête sociale sur la Cité Marcel Paul et réalisation d'une enquête sociale sur la Cité Marcel Cachin. Pour Cordon et le Vieux Saint-Ouen : Historique: Aucun diagnostic social à ce jour.  _x000D_
Objet de l'étude : Une enquête sociale comprenant un volet démographique, sociologique et économique permettant de clarifier les principaux enjeux sociaux dans la perspective d'un projet de renouvellement urbain.</t>
  </si>
  <si>
    <t>SO-ISD-03</t>
  </si>
  <si>
    <t>Etude technique sur le patrimoine bâti</t>
  </si>
  <si>
    <t>Un diagnostic technique du bâti permettra de disposer d'une connaissance précise de l'état du bâti afin de préciser le projet et ses modalités de mise en œuvre (démolition, réhabilitation, restructuration, requalification, etc.…). _x000D_
 _x000D_
Cette étude devra notamment prendre en compte le rapport bâti-espaces extérieurs et intégrer la perspective de mise en œuvre de solutions techniques couvrant aussi largement que possible les paramètres de baisse des charges, économie des ressources et préservation de l'environnement._x000D_
 _x000D_
Particulièrement, ce diagnostic devra aborder les aspects relatifs à l’enveloppe des immeubles, aux parties communes, aux logements ainsi qu’aux objectifs d’amélioration des performances thermiques. _x000D_
L’étude devra également comprendre un volet sur la typologie et le confort des logements ainsi que leurs potentiels d’adaptation aux besoins et évolutions des ménages._x000D_
 _x000D_
Pour le quartier Sud, l’étude relative à la réhabilitation de la Cité Marcel Paul réalisée en 2014 par ARCHETUDE – ALTEREA, doit être approfondie afin de s'inscrire dans un objectif ambitieux d'amélioration de performances thermiques des trois tours de la Cité Marcel Paul dans le cadre du diagnostic. L'étude devra également intégrer dans son champ le rapport bâti-espaces extérieurs et prendre en compte les problématiques et besoins des locataires en place signalés dans le diagnostic social tant dans l'usage de leur logement que des espaces extérieurs.</t>
  </si>
  <si>
    <t>SO-ISD-05</t>
  </si>
  <si>
    <t>Etude de programmation et de restructuration spécifique à l'ile des vannes</t>
  </si>
  <si>
    <t>L’équipement de L’Ile des Vannes, propriété privée de la Ville de Saint-Ouen sur le territoire communal de L’Ile-Saint-Denis, est un équipement à vocation intercommunale qui est une opportunité pour le développement du NPNRU Saint-Ouen – L’Ile Saint-Denis. Aujourd’hui occupé par des équipements sportifs de la Ville de Saint-Ouen, il est important d’élargir la réflexion sur sa programmation et son ouverture aux quartiers. _x000D_
Objectif et attendus _x000D_
Il s’agit donc d’engager un diagnostic de l’état des équipements présents afin de déterminer les pistes de programmation possibles et d’interroger la mise en commun de l’utilisation des équipements présents et évaluer les conditions de leur remise à niveau.  _x000D_
Dans le cadre de l’Entente « Arc en Seine », créée en avril 2013 afin de fédérer les collectivités de la façade fluviale autour d’un projet d’envergure métropolitaine, la Communauté d’Agglomération Plaine Commune engagera, d’ici la fin de l’année 2015, une étude sur sa façade fluviale, dont un lot spécifique est prévu sur le secteur de l’île des Vannes et du parc des Docks de Saint-Ouen dont l’attendu principale est de se doter d’une vision prospective de l’Ile des Vannes en engageant une reflexion sur un ensemble paysager cohérent appréhendant les notions de grand paysage, les continuités de cheminements (franchissement piéton vers le Parc des Docks) notamment. _x000D_
L’étude inscrite au protocole devra également accompagner, approfondir et vérifier techniquement les incidences des différents scénarios de l’étude lancée à l’automne 2015 par CAPC._x000D_
Cette étude devra être mise en perspective avec les études du NPNRU et particulièrement avec les orientations définies dans le schéma directeur.  _x000D_
La Ville de Saint-Ouen a par ailleurs engagé un diagnostic technique pour le clos et couvert de la nef de l’Ile des Vannes. _x000D_
 _x000D_
Calendrier : démarrage en 2016</t>
  </si>
  <si>
    <t>8330€ pris en charge par l'ISD</t>
  </si>
  <si>
    <t>SO-ISD-04</t>
  </si>
  <si>
    <t>Etude de potentiel économique</t>
  </si>
  <si>
    <t>Dev éco</t>
  </si>
  <si>
    <t>Objet de l'étude : Une étude spécifique sur le potentiel économique des quartiers sera nécessaire pour adapter au mieux la programmation des locaux et définir les moyens et actions d’accompagnement au développement de l’emploi et des entreprises._x000D_
Pour le quartier Sud, une étude plus spécifique sur la programmation des pieds d'immeubles sur le boulevard Marcel Paul et dans la Cité Marcel Cachin : La  mission devra  définir la programmation des pieds d'immeuble, notamment le long du boulevard Marcel Paul, qui ne seront pas destinés à accueillir de l'activité commerciale._x000D_
Celle-ci devra envisager différentes programmations au regard des besoins du quartier (économique, ESS...). _x000D_
L'implantation d'une micro-crèche (environ 135m²) sur le Quartier Sud de L'Île-Saint-Denis pourra notamment être étudiée dans ce cadre.</t>
  </si>
  <si>
    <t>ST-CSL-01</t>
  </si>
  <si>
    <t>étude programmatique sur l'ancien collège Thorez</t>
  </si>
  <si>
    <t>Ville de Stains</t>
  </si>
  <si>
    <t>étude visant à définir une programmation pour les locaux de l'ancien collège, avec une orientation ESS et services publics; ainsi que le ou les montages juridiques et financiers</t>
  </si>
  <si>
    <t>ST-CSL-02</t>
  </si>
  <si>
    <t>Finances</t>
  </si>
  <si>
    <t>ST-CSL-02 / ST-CSL-10</t>
  </si>
  <si>
    <t>articulation sur le secteur Collège étude programmatique / étude urbaine CSL et/ou préfiguration</t>
  </si>
  <si>
    <t>Mission destinée à garantir une articulation entre l'étude programmatique collège et l'étude urbaine sur le quartier. Comment dessiner les abords de la zone Collège et/ou comment envisager une préfiguration des usages pour éviter des difficultés de gestion de l'attente liées à un bâtiment vide en coeur de quartier</t>
  </si>
  <si>
    <t>ST-CSL-03</t>
  </si>
  <si>
    <t>Etudes techniques collège (sondages amiantes, pollution, diagnostic énergétique, relevés,…)</t>
  </si>
  <si>
    <t>études techniques préalables à une reconversion du site de l'ancien collège Maurice Thorez</t>
  </si>
  <si>
    <t>ST-CSL-04</t>
  </si>
  <si>
    <t>ST-CSL-04 / ST-CSL-11 / ST-PRE-01</t>
  </si>
  <si>
    <t>Faisabilité économique et urbaine sur la frange sud du Clos - Shéma directeur sur l'ensemble du quartier en vue du NPNRU</t>
  </si>
  <si>
    <t>la tranche ferme de diganostic s'est déroulée dans le cadre du PNRU. _x000D_
Les tranches suivantes, d'orientations et schéma directeur urbain et économiques seront affermies dans le cadre du protocole NPNRU</t>
  </si>
  <si>
    <t>Diagnostic déjà réalisé hors protocole (phase 1)</t>
  </si>
  <si>
    <t>ST-CSL-05</t>
  </si>
  <si>
    <t>Etude préalables RD29</t>
  </si>
  <si>
    <t>CD 93</t>
  </si>
  <si>
    <t>la RD29 est un axe majeur desservant les Tartres, le Clos Saint Lazare, la cIté-jardin, jusqu'à la nouvelle gare de la Tangentielle et la Prêtresse. L'enjeu d'initier des études en vue de sa requalification est donc énorme.</t>
  </si>
  <si>
    <t>Cofinancement ANRU ?</t>
  </si>
  <si>
    <t>ST-CSL-06</t>
  </si>
  <si>
    <t>Etude patrimoniale bailleur</t>
  </si>
  <si>
    <t>Cette étude patrimoniale, menée sur le bâti existant avec appui d'un BE et d'un économiste externe, permet d'établir la maquette et le chiffrage de nos opérations du NPNRU, en accord avec les conclusions de l'étude urbaine._x000D_
La mission du BE et de l'économiste est appuyée par un ensemble d'études techniques nécessaires au chiffrage des opérations, dont : _x000D_
--&gt; diagnostic ETICS (façades), diagnostic acoustique, audit énergétique et diagnostic amiante plomb menés sur les trois immeubles non réhabilités en ANRU 1 (sur un échantillon de logement);_x000D_
--&gt; diagnostic VRD à mener sur les abords immédiats des immeubles à résidentialiser en ANRU 2, afin de détecter notamment la présence d'amiante dans les voiries ou trottoirs existants et d'avoir un diagnostic de l'état des réseaux privatifs.</t>
  </si>
  <si>
    <t>ST-CSL-07</t>
  </si>
  <si>
    <t>Enquêtes sociales en vue des démolitions</t>
  </si>
  <si>
    <t>L'enquête sociale doit permettre de prendre en compte l'état du peuplement de nos immeubles non traités dans le cadre du 1er PRU et la capacité financière des ménages(ressources, reste à vivre, demandes de mutation/relogement), afin d'appuyer la stratégie patrimoniale de nos investissements dans le cadre du NPNRU.</t>
  </si>
  <si>
    <t>ST-CSL-08</t>
  </si>
  <si>
    <t>Etude construction neuve</t>
  </si>
  <si>
    <t>Il s'agit ici de mener des études de faisabilité, études de sols (dont pollution) et géotechniques sur les îlots de reconstruction définis par l'étude urbaine._x000D_
Ces études techniques permettront d'établir un chiffrage réaliste des opérations de construction neuve de logements sociaux, qui prendra en compte l'état du foncier.</t>
  </si>
  <si>
    <t>ST-CSL-10</t>
  </si>
  <si>
    <t>mission de conseil et de formation à la structuration d'une filière ré-emploi pour accompagner les acteurs locaux dans la mise en place d'une ressourcerie, soutenue par l'Europe</t>
  </si>
  <si>
    <t>ST-CSL-11</t>
  </si>
  <si>
    <t>étude de programmation / articulation Clos Saint Lazare et Tartres</t>
  </si>
  <si>
    <t>Sur la base d'une proposition de programme actualisé sur la ZAC des Tartres, questionnement de la programmation du Clos Saint Lazare, pour un travail itératif, garantissant une bonne cohérence entre les 2 projets</t>
  </si>
  <si>
    <t>ST-CSL-13</t>
  </si>
  <si>
    <t>partenariat de recherche avec l'Université Paris 8</t>
  </si>
  <si>
    <t>Partenariat de recherche avec l'université Paris 8</t>
  </si>
  <si>
    <t>Dans le cadre de l'AMI "villes durables et solidaires", les équipes d'enseignants chercheurs de Paris 8 accompagneraient la direction de projet et ses partenaires sur deux sujets : celui du reste à vivre,  de sa mesure et des impacts liés à la rénovation urbaine d'une part; et d'autre part, sur un diagnostic suivi de préconisation sur le phénomène de mécanique sauvage</t>
  </si>
  <si>
    <t>Autres = 30% Université Paris 8 et 70% AMI PIA</t>
  </si>
  <si>
    <t>ST-PRE-01</t>
  </si>
  <si>
    <t>La Prêtresse</t>
  </si>
  <si>
    <t>diagnostic multiscalaire du fonctionnement actuel du site, proposition de scénarii de rénovation urbaine, validation d'un schéma directeur chiffré comprenant la programmation bâti, équipements, activité, espaces publics_x000D_
 _x000D_
Cette étude comprendra différents volets :_x000D_
 _x000D_
-économique_x000D_
-foncier_x000D_
-environemental_x000D_
 _x000D_
et sera amené à établir ue programmation, le schéma directeur du NPNRU et participe au montage du dossier</t>
  </si>
  <si>
    <t>ST-PRE-02</t>
  </si>
  <si>
    <t>L'enquête sociale doit permettre de prendre en compte l'état du peuplement de nos immeubles et la capacité financière des ménages (ressources, reste à vivre, demandes de mutation/relogement), afin d'appuyer la stratégie patrimoniale de nos investissements dans le cadre du NPNRU.</t>
  </si>
  <si>
    <t>ST-PRE-03</t>
  </si>
  <si>
    <t>Il s'agit ici de mener des études de faisabilité, études de sols (dont pollution) et géotechniques sur un îlot de reconstruction défini par l'étude urbaine.Ces études techniques permettront d'établir un chiffrage réaliste d'une opération de construction neuve de logements sociaux, qui prendra en compte l'état du foncier.</t>
  </si>
  <si>
    <t>ST-PRE-04</t>
  </si>
  <si>
    <t>Etude techniques et de faisabilité</t>
  </si>
  <si>
    <t>Cette étude patrimoniale, menée sur le bâti existant avec appui d'un architecte, d'un BE technique (fluides, électricité) et d'un économiste externe,permet d'établir la maquette et le chiffrage de nos opérations du NPNRU, en accord avec les conclusions de l'étude urbaine._x000D_
La mission du BE et de l'économiste est appuyée par un ensemble d'études techniques nécessaires au chiffrage des opérations, dont :_x000D_
 --&gt; diagnostic structure, diagnostic ETICS (façades), diagnostic acoustique, audit énergétique et diagnostic amiante plomb menés sur un échantillon de logement ;_x000D_
--&gt; diagnostic VRD à mener sur les abords immédiats des immeubles à résidentialiser , afin de détecter notamment la présence d'amiante dans les voiries ou trottoirs existants et d'avoir un diagnostic de l'état des réseaux privatifs.</t>
  </si>
  <si>
    <t>VILLETANEUSE</t>
  </si>
  <si>
    <t>VI-LEU-01</t>
  </si>
  <si>
    <t>Saint-Leu</t>
  </si>
  <si>
    <t>QP093049</t>
  </si>
  <si>
    <t>Etude de programmation médiathèque</t>
  </si>
  <si>
    <t>Etudes urbaines et programmation</t>
  </si>
  <si>
    <t>Les deux médiathèques actuelles sont peu adaptées et se partagent alternativement les personnels d’accueil : la médiathèque Jean Renaudie au nord  et la médiathèque Max-Pol Fouchet au sud, cette dernière étant particulièrement peu lisible._x000D_
 _x000D_
La direction de la lecture publique de Plaine Commune souhaite créer un nouvel équipement adapté aux besoins des villetaneusiens sur l’avenue de la Division Leclerc à proximité du Collège Jean Vilar et du tramway T8, au rez de chaussée d'un programme de logements._x000D_
 _x000D_
La réalisation de l'ensemble étant envisagé via une acquisition en l'état futur d'achèvement, l'étude permettra de fixer le programme à confier à l'opérateur retenu.</t>
  </si>
  <si>
    <t>VI-LEU-02</t>
  </si>
  <si>
    <t>Diagnostic portant sur les espaces extérieurs du bailleur, permettant de consolider la faisabilité technique et financière pour les espaces susceptibles d’être cédés à la Ville pour que Plaine Commune réalise de nouvelles voies publiques.</t>
  </si>
  <si>
    <t>VI-LEU-03</t>
  </si>
  <si>
    <t>Diagnostic amiante espaces extérieurs</t>
  </si>
  <si>
    <t>VI-LEU-04</t>
  </si>
  <si>
    <t>Etude réseaux et ITV</t>
  </si>
  <si>
    <t>VI-LEU-05</t>
  </si>
  <si>
    <t>Audit environnemental et analyses de sol</t>
  </si>
  <si>
    <t>VI-LEU-06</t>
  </si>
  <si>
    <t>Audit géotechnique</t>
  </si>
  <si>
    <t>VI-LEU-07</t>
  </si>
  <si>
    <t>Diagnostic structure / étanchéité parking souterrain / préconisations</t>
  </si>
  <si>
    <t>Plaine Commune envisage de créer une future voirie publique dont le tracé passe au-dessus d'un parking en ouvrage appartenant à l'Oph93 (parking Grandcoing)._x000D_
 _x000D_
Il est donc nécessaire que le bailleur confirme les possibilité de portance de la dalle ainsi que l'état de l'étanchéite du dessus, le prestataire étant appelé à formuler des préconisations pour la future voie.</t>
  </si>
  <si>
    <t>VI-LEU-08</t>
  </si>
  <si>
    <t>Relevé de géomètre parking souterrain</t>
  </si>
  <si>
    <t>Relevé portant sur le parking en ouvrage du bailleur, au-dessus duquel Plaine Commune souhaite faire passer une voirie publique.</t>
  </si>
  <si>
    <t>VI-LEU-09</t>
  </si>
  <si>
    <t>Etude foncière et de division en volume</t>
  </si>
  <si>
    <t>Etude permettant de préparer sur le plan juridique le passage d'une future voirie publique réalisée par Plaine Commune au-dessus du parking en ouvrage de l'Oph93.</t>
  </si>
  <si>
    <t>VI-LEU-10</t>
  </si>
  <si>
    <t>Etude de repérage de diagnostic des réseaux</t>
  </si>
  <si>
    <t>Diagnostic portant sur les espaces extérieurs du bailleur, qui permettra de définir la faisabilité et le coût du projet de résidentialisation et du projet de future voirie publique que Plaine Commune envisage.</t>
  </si>
  <si>
    <t>Etudes OGIF financées ANRU mais taux minoré</t>
  </si>
  <si>
    <t>VI-LEU-11</t>
  </si>
  <si>
    <t>Etude assainissement - repérage ITV et étanchéité des réseaux</t>
  </si>
  <si>
    <t>VI-LEU-12</t>
  </si>
  <si>
    <t>Etude de repérage amiante des réseaux, des V.R.D et diagnostic pollution</t>
  </si>
  <si>
    <t>VI-LEU-13</t>
  </si>
  <si>
    <t>Mission d'assistance à la gestion et à l'amélioration du centre commercial</t>
  </si>
  <si>
    <t>VI-LEU-15</t>
  </si>
  <si>
    <t>Sondage sur structure existante logements</t>
  </si>
  <si>
    <t>France Habitation</t>
  </si>
  <si>
    <t>Diagnostic portant sur le parc social du bailleur, qui permettra de définir le programme et le coût du projet de réhabilitation.</t>
  </si>
  <si>
    <t>VI-LEU-16</t>
  </si>
  <si>
    <t>Relevé géomètre logements</t>
  </si>
  <si>
    <t>VI-LEU-17</t>
  </si>
  <si>
    <t>Diagnostic amiante et plomb (façades, parties communes, logements)</t>
  </si>
  <si>
    <t>VI-LEU-18</t>
  </si>
  <si>
    <t>Audit énergétique bâti</t>
  </si>
  <si>
    <t>VI-LEU-19</t>
  </si>
  <si>
    <t>Diagnostic amiante et plomb VRD</t>
  </si>
  <si>
    <t>VI-LEU-20</t>
  </si>
  <si>
    <t>Sondages de pollution et structure de sol</t>
  </si>
  <si>
    <t>montant initial de 461667</t>
  </si>
  <si>
    <t>VI-LEU-21</t>
  </si>
  <si>
    <t>Etude de diagnostic des réseaux et repérage ITV</t>
  </si>
  <si>
    <t>montant initial de 291667</t>
  </si>
  <si>
    <t>VI-LEU-22</t>
  </si>
  <si>
    <t>Diagnostic de vie locale</t>
  </si>
  <si>
    <t>Diagnostic du fonctionnement social urbain du site qui permettra d'alimenter tant le projet urbain que le projet de gestion et les actions d'accompagnement.</t>
  </si>
  <si>
    <t>VI-LEU-24</t>
  </si>
  <si>
    <t>Etude urbaine pré-opérationnelle</t>
  </si>
  <si>
    <t>Cette étude comprend les prestations de maîtrise d’œuvre urbaine permettant de préciser le projet urbain défini dans l’étude de faisabilité de 2014, de définir les scénarios retenus dans chacun des secteurs concernés par le NPNRU, et de chiffrer les opérations à inscrire à la future convention._x000D_
Les prestataires en charge de ces missions devront travailler de manière itérative avec les autres études afin de se nourrir de leur travail._x000D_
 _x000D_
Plus que tous les autres prestataires, le maître d’œuvre urbain devra faire la synthèse des études pré-opérationnelles de manière à ce que le projet évolue en se nourrissant des différentes expertises mobilisées.</t>
  </si>
  <si>
    <t>EP-TRAN-04</t>
  </si>
  <si>
    <t>Etude développement de l'activité et de l'économie sociale et solidaire sur les locaux commerciaux et en pied d'immeuble</t>
  </si>
  <si>
    <t>Cette étude est à mener en lien  étroit avec l'étude commerces menée sur les quartiers Orgemont , La Source et le Centre-ville. Il s'agit d'effectuer un diagnostic de l'activité en secteur PRU ainsi qu'un état des lieux de l'ESS et de l'artisanat à l'échelle des quartiers et de la ville d'Epinay-sur-Seine._x000D_
 _x000D_
Il est attendu également  :_x000D_
 _x000D_
-des propositions de restructuration de locaux (commerciaux, pied d'immeuble) en fonction de la nouvelle programmation urbaine et en lien avec l'étude commerces. _x000D_
-des propositions relatives au développement de l'ESS et d'activités d'art à partir des artisans déjà présents._x000D_
-une définition des activités artisanales de production ou de service en fonction des surfaces des lots, de leur accessibilité et des hauteurs des lots retenus.</t>
  </si>
  <si>
    <t>CO-4MI-41</t>
  </si>
  <si>
    <t>Diagnostic technique du 49 Barbusse</t>
  </si>
  <si>
    <t>Diagnostic technique</t>
  </si>
  <si>
    <t>CO-4MI-42</t>
  </si>
  <si>
    <t>Diagnostic technique du bâti au secteur Vieux Barbusse (plomb, sondages structure)</t>
  </si>
  <si>
    <t>CO-4MI-10</t>
  </si>
  <si>
    <t>Diagnostic social du 49 Barbusse</t>
  </si>
  <si>
    <t>PI-JON-16</t>
  </si>
  <si>
    <t>Etude de faisabilité architecturale</t>
  </si>
  <si>
    <t>Etude de faisabilité Ravalement avec isolation (scénarii et chiffrage)</t>
  </si>
  <si>
    <t>SD-FSC-13</t>
  </si>
  <si>
    <t>Etude patrimoniale Floréal Est</t>
  </si>
  <si>
    <t>Etude Patrimoniale</t>
  </si>
  <si>
    <t>L'estimation de l'état structurel du bâtiment dans le cadre d'une réhabilitation et d'une démolition est indispensable pour définir au mieux les coûts d'investissement à inscrire dans la convention à échéance du protocole.</t>
  </si>
  <si>
    <t>SD-FSC-14</t>
  </si>
  <si>
    <t>Diagnostic technique Floréal Est</t>
  </si>
  <si>
    <t>SD-FSC-15</t>
  </si>
  <si>
    <t>Diagnostic social Floréal Est</t>
  </si>
  <si>
    <t>SD-FSC-16</t>
  </si>
  <si>
    <t>Etude thermique Floréal Est</t>
  </si>
  <si>
    <t>Etude Thermique</t>
  </si>
  <si>
    <t>L'étude patrimoniale aura pour vocation tout en maintenant le patrimoine existant de mener une réflexion sur la politique de peuplement et son évolution dans l'hypothèse d'une diversité de l'habitat</t>
  </si>
  <si>
    <t>SD-FMO-18</t>
  </si>
  <si>
    <t>Diagnostic social ensemble des logements</t>
  </si>
  <si>
    <t>SD-FMO-19</t>
  </si>
  <si>
    <t>Diagnostic technique et amiante B1/B2</t>
  </si>
  <si>
    <t>SD-CVI-25</t>
  </si>
  <si>
    <t>Etude patrimoniale (Ilot 8)</t>
  </si>
  <si>
    <t>SD-CVI-26</t>
  </si>
  <si>
    <t>Diagnostic social sur le secteur Basilique (Ilot 1-3-8)</t>
  </si>
  <si>
    <t>SD-CVI-27</t>
  </si>
  <si>
    <t>Diagnostic technique du bâti</t>
  </si>
  <si>
    <t>EP-SOU-17</t>
  </si>
  <si>
    <t>Diagnostics techniques (bâti, réseaux, amiante)- bâtiment K</t>
  </si>
  <si>
    <t>PI-JON-17</t>
  </si>
  <si>
    <t>VI-LEU-37</t>
  </si>
  <si>
    <t>Diagnostic du fonctionnement socio-urbain et des problématiques sociologiques  - cité Saint-Leu</t>
  </si>
  <si>
    <t>Diagnostic qui permettra d'alimenter  le projet urbain,  les projets de gestion et  d'accompagnement.</t>
  </si>
  <si>
    <t>Demande suite à la RTP_x000D_
A lancer après CE</t>
  </si>
  <si>
    <t>EP-ORG-20</t>
  </si>
  <si>
    <t>Orgemont - Diagnostic d'occupation sociale Cité Jardin</t>
  </si>
  <si>
    <t>Enquête sociale auprès des ménages des 127 pavillons : composition familiale, niveau de ressources, taux d'effort, reste à vivre, permettant d'estimer l'impact des travaux sur les loyers et les charges.</t>
  </si>
  <si>
    <t>SD-FMO-01</t>
  </si>
  <si>
    <t>Etude programmation urbaine / suivi projet urbain</t>
  </si>
  <si>
    <t>Dans la continuité de l'étude de stratégie et de prospective urbaine achevée en 2015, cette nouvelle étude devra :_x000D_
 _x000D_
- Approfondir les grandes orientations en termes d'évolution urbaine du secteur à horizon 15-20 ans en proposant des actions opérationnelles._x000D_
 _x000D_
- Décliner ces orientations en un projet opérationnel à 5 ans, par secteur.</t>
  </si>
  <si>
    <t>Total</t>
  </si>
  <si>
    <t>etude déjà lancée</t>
  </si>
  <si>
    <t>Étiquettes de lignes</t>
  </si>
  <si>
    <t>Total général</t>
  </si>
  <si>
    <t>Somme de Coût HT</t>
  </si>
  <si>
    <t>Somme de Subvention ANRU</t>
  </si>
  <si>
    <t>Somme de CDC</t>
  </si>
  <si>
    <t>01 Emile Dubois / Maladrerie</t>
  </si>
  <si>
    <t>02 Villette / 4 Chemins</t>
  </si>
  <si>
    <t>11 Franc Moisin</t>
  </si>
  <si>
    <t>12 Floréal / Saussaie / Courtille</t>
  </si>
  <si>
    <t>ADOMA</t>
  </si>
  <si>
    <t>OPIEVOY</t>
  </si>
  <si>
    <t>OPH93</t>
  </si>
  <si>
    <t>rattachement au NPNRU Val de France Sarcelle, accord de principe entre le maire de pierrefitte et président ANRU/Maire de Sarcelle
cout ANRU : 12 500
cout HT : 25000</t>
  </si>
  <si>
    <t>Val de France , cout ANRU : 12500
cout HT : 25000</t>
  </si>
  <si>
    <t>Antin Résidences</t>
  </si>
  <si>
    <t xml:space="preserve">Toit et Joie </t>
  </si>
  <si>
    <t xml:space="preserve">code étude GEN </t>
  </si>
  <si>
    <t xml:space="preserve"> code fiche étude </t>
  </si>
  <si>
    <t xml:space="preserve">nature de dépense </t>
  </si>
  <si>
    <t>service concerné</t>
  </si>
  <si>
    <t>TVA</t>
  </si>
  <si>
    <t>Taux de subvention ANRU</t>
  </si>
  <si>
    <t>%</t>
  </si>
  <si>
    <t>%2</t>
  </si>
  <si>
    <t>%3</t>
  </si>
  <si>
    <t>%4</t>
  </si>
  <si>
    <t>%5</t>
  </si>
  <si>
    <t>%6</t>
  </si>
  <si>
    <t>%7</t>
  </si>
  <si>
    <t>%8</t>
  </si>
  <si>
    <t>GEN-04</t>
  </si>
  <si>
    <t xml:space="preserve">VI-LEU-32
</t>
  </si>
  <si>
    <t>Etude de programmation commerces et services</t>
  </si>
  <si>
    <t>économique</t>
  </si>
  <si>
    <t>investissement</t>
  </si>
  <si>
    <t>Développement éco</t>
  </si>
  <si>
    <t xml:space="preserve">décroisement des financements avec les villes </t>
  </si>
  <si>
    <t>ST-PRE-12</t>
  </si>
  <si>
    <t>Etude sur le volet commercial</t>
  </si>
  <si>
    <t>SO-VSO-2</t>
  </si>
  <si>
    <t>Etude commerciale</t>
  </si>
  <si>
    <t>SO-COR-4</t>
  </si>
  <si>
    <t>PIERREFITTE SUR SEINE</t>
  </si>
  <si>
    <t>PI-JON-10</t>
  </si>
  <si>
    <t>Etude commerciale secteur Rougemonts</t>
  </si>
  <si>
    <t>ID-QSU-06</t>
  </si>
  <si>
    <t>Programmation commerciale sur le boulevard Marcel Paul en cohérence avec l'Ecoquartier fluvial</t>
  </si>
  <si>
    <t>EPINAY SUR SEINE</t>
  </si>
  <si>
    <t>EP-TRAN-5</t>
  </si>
  <si>
    <t>Etude commerces (Orgemont, La Source, Centre ville)</t>
  </si>
  <si>
    <t>décroisement des financements avec les villes 
+45 000 dans la maquette financière</t>
  </si>
  <si>
    <t>CO-4MI-37</t>
  </si>
  <si>
    <t>AU-EMA-32</t>
  </si>
  <si>
    <t>Etude commerces et activités</t>
  </si>
  <si>
    <t>GEN-06</t>
  </si>
  <si>
    <t>SO-ISD-10</t>
  </si>
  <si>
    <t xml:space="preserve">schéma directeur à l'échelle des trois quartiers avec étude environnementale et patrimoniale(charte développement durable)  </t>
  </si>
  <si>
    <t xml:space="preserve">Urbaine </t>
  </si>
  <si>
    <t>DRU</t>
  </si>
  <si>
    <t>proposition prise en compte 50% CDC</t>
  </si>
  <si>
    <t>CO-4MI-27</t>
  </si>
  <si>
    <t>Volet environnemental aux 4000 : produire un état des lieux en matière énergétique, patrimoine végétal et animal, pollution et nuisances, traitement des déchets et des EP, etc</t>
  </si>
  <si>
    <t>technique</t>
  </si>
  <si>
    <t>GEN-07</t>
  </si>
  <si>
    <t>SD-FSC-06</t>
  </si>
  <si>
    <t>Etude desserte transport en commun - Nord est Plaine commune</t>
  </si>
  <si>
    <t>DGST</t>
  </si>
  <si>
    <t>30% restant : Garges, Sarcelle, STIFF ?</t>
  </si>
  <si>
    <t>GEN-08</t>
  </si>
  <si>
    <t>VSO-COR-10</t>
  </si>
  <si>
    <t>Etude stationnement (résidentiel et public) et circulations</t>
  </si>
  <si>
    <t xml:space="preserve">VI-LEU-36
</t>
  </si>
  <si>
    <t xml:space="preserve">Etude circulation / stationnement
étude technique générale </t>
  </si>
  <si>
    <t>ST-PRE-13</t>
  </si>
  <si>
    <t>Etude de circulations multimodales et stationnement résidentiel et public</t>
  </si>
  <si>
    <t>ST-CSL-23</t>
  </si>
  <si>
    <t>Etude de circulation multimodale et de stationnement, y compris résidentiel</t>
  </si>
  <si>
    <t>SD-FSC-12</t>
  </si>
  <si>
    <t>Etude de circulation et de stationnement</t>
  </si>
  <si>
    <t>SD-FMO-13</t>
  </si>
  <si>
    <t>Définition stratégie de stationnement</t>
  </si>
  <si>
    <t>part bailleurs = 12,5% PCH / 12,5% Logirep</t>
  </si>
  <si>
    <t>PI-JON-13</t>
  </si>
  <si>
    <t xml:space="preserve">etudes circulation mulltimodale et stationnement </t>
  </si>
  <si>
    <t>ISD-QSU-04</t>
  </si>
  <si>
    <t>Lot spécifique pour la réorganisation du stationnement et la création d'un parking silo</t>
  </si>
  <si>
    <t>EP-SOU-13</t>
  </si>
  <si>
    <t>La Source - Etude circulation et stationnement</t>
  </si>
  <si>
    <t>EP-ORG-18</t>
  </si>
  <si>
    <t>Orgemont - Etude circulation et stationnement</t>
  </si>
  <si>
    <t>CO-4MI-38</t>
  </si>
  <si>
    <t>Diagnostic - programme stationnement/flux aux 4000</t>
  </si>
  <si>
    <t>20%</t>
  </si>
  <si>
    <t>SD-CVI-24</t>
  </si>
  <si>
    <t xml:space="preserve">stationnement </t>
  </si>
  <si>
    <t xml:space="preserve">urbaine </t>
  </si>
  <si>
    <t>GEN-10</t>
  </si>
  <si>
    <t xml:space="preserve">VI-LEU-34
</t>
  </si>
  <si>
    <t>étude Hydrogéologique / phytosanitaire</t>
  </si>
  <si>
    <t>ST-PRE-07</t>
  </si>
  <si>
    <t>Etudes phytosanitaires et hydrologiques</t>
  </si>
  <si>
    <t>ST-CSL-21</t>
  </si>
  <si>
    <t>études phytosanitaires</t>
  </si>
  <si>
    <t>SD-FSC-11</t>
  </si>
  <si>
    <t>Etat des lieux patrimoine végétal et paysage</t>
  </si>
  <si>
    <t>SD-FMO-16</t>
  </si>
  <si>
    <t>Etat des lieux phytosanitaire patrimoine arboré</t>
  </si>
  <si>
    <t>EP-SOU-15</t>
  </si>
  <si>
    <t>CO-4MI-34</t>
  </si>
  <si>
    <t>Etude phytosanitaire secteur Convention</t>
  </si>
  <si>
    <t>CO-4MI-29</t>
  </si>
  <si>
    <t>Complément d'étude hydrogéologique secteur Vieux Barbusse
Etude phytosanitaire aux quartiers nord</t>
  </si>
  <si>
    <t>AU-EMA-34</t>
  </si>
  <si>
    <t>Diagnostic phytosanitaire</t>
  </si>
  <si>
    <t>GEN-11</t>
  </si>
  <si>
    <t>SD-CVI-22</t>
  </si>
  <si>
    <t>Etude de structure secteur Basilique (préalable au programme travaux)</t>
  </si>
  <si>
    <t>CO-4MI-35</t>
  </si>
  <si>
    <t>Diagnostic portance dalle (allée du Progrès)</t>
  </si>
  <si>
    <t xml:space="preserve">Etude structure </t>
  </si>
  <si>
    <t>AU-V4C-18</t>
  </si>
  <si>
    <t>Etude structure Dalle Villette</t>
  </si>
  <si>
    <t>Répartition des études techniques à valider avec l'OPH en dernière instance (mais a priori cela devrait être stabilisé comme tel)</t>
  </si>
  <si>
    <t>GEN-12</t>
  </si>
  <si>
    <t xml:space="preserve">VI-LEU-25
</t>
  </si>
  <si>
    <t>Etude de pollution avec investigations d'amiantes dans les enrobés+géotechnique 
renvoi études générales</t>
  </si>
  <si>
    <t>ST-PRE-06</t>
  </si>
  <si>
    <t>Diagnostic amiante/pollution/géotechnique sur espaces publics</t>
  </si>
  <si>
    <t>ST-CSL-20</t>
  </si>
  <si>
    <t>Sondages amiante/pollution/géotechniques sur espaces publics (collège+frange sud+accroches Verlaine/Lamartine/Cité jardin)</t>
  </si>
  <si>
    <t>SO-ISD-12</t>
  </si>
  <si>
    <t xml:space="preserve">Sondages amiante / Pollution / géotechniques sur espaces publics </t>
  </si>
  <si>
    <t>SD-FSC-9</t>
  </si>
  <si>
    <t>Sondage amiante / Pollution / Géotechniques sur espaces publics (Floréal Est + Adoma)</t>
  </si>
  <si>
    <t>SD-FMO-14</t>
  </si>
  <si>
    <t>Sondages amiante / pollution / géotechniques sur espaces publics ensemble quartier</t>
  </si>
  <si>
    <t>PI-JON-15</t>
  </si>
  <si>
    <t>reconaissance amiante et pollution et géotechnique</t>
  </si>
  <si>
    <t>CO-4MI-33</t>
  </si>
  <si>
    <t>Diagnostic amiante secteur Convention
Etude géotechnique secteur Convention
Sondage pollution, secteur Convention</t>
  </si>
  <si>
    <t>CO-4MI-30</t>
  </si>
  <si>
    <t xml:space="preserve">Etude pollution espace public au secteur Vieux Barbusse
Etude géotechnique au secteur Vieux Barbusse 
Sondages géotechniques secteur Robespierre
Etude de reconnaissance amiante espace public au secteur Vieux Barbusse
Etude secteur reconnaissance amiante espace public secteur Robespierre
</t>
  </si>
  <si>
    <t>AU-V4C-16</t>
  </si>
  <si>
    <t>Etude espaces publics : Diagnostic amiante voiries diffus / Diagnostic pollution angle Barbusse/ République</t>
  </si>
  <si>
    <t>AU-EMA-35</t>
  </si>
  <si>
    <t>fusion des lignes d'après le tableau de MC</t>
  </si>
  <si>
    <t>GEN-13</t>
  </si>
  <si>
    <t xml:space="preserve">VI-LEU-26
</t>
  </si>
  <si>
    <r>
      <t xml:space="preserve">Etudes topographique et réseaux 
</t>
    </r>
    <r>
      <rPr>
        <i/>
        <sz val="11"/>
        <rFont val="Calibri"/>
        <family val="2"/>
        <scheme val="minor"/>
      </rPr>
      <t>Prestations de géomètre(topographie) mutualisée et Schéma directeur des réseaux</t>
    </r>
  </si>
  <si>
    <t>ST-PRE-08</t>
  </si>
  <si>
    <t>lever topo- schéma directeur des réseaux / inspections TV réseaux</t>
  </si>
  <si>
    <t>ST-CSL-19</t>
  </si>
  <si>
    <t>lever topo- actualisation du schéma directeur des réseaux / inspections TV réseaux</t>
  </si>
  <si>
    <t>SO-ISD-11</t>
  </si>
  <si>
    <t>Relevés topographiques + réseaux</t>
  </si>
  <si>
    <t>SD-FSC-10</t>
  </si>
  <si>
    <t>Plan de recollement topographique et réseaux général</t>
  </si>
  <si>
    <t>Valorisation financement ANRU1 ; Part bailleur = PCH</t>
  </si>
  <si>
    <t>SD-FMO-17</t>
  </si>
  <si>
    <t>relevé topographique et réseaux ensemble quartier</t>
  </si>
  <si>
    <t>valorisation financement ANRU1 ; part bailleurs = 12,5% PCH / 12,5% Logirep</t>
  </si>
  <si>
    <t>SD-FMO-12</t>
  </si>
  <si>
    <t>Shéma directeur des réseaux</t>
  </si>
  <si>
    <t>SD-CVI-23</t>
  </si>
  <si>
    <t>relevé topographique et réseaux</t>
  </si>
  <si>
    <t>PI-JON-12</t>
  </si>
  <si>
    <t>études topographiques et réseaux</t>
  </si>
  <si>
    <t xml:space="preserve">Recettes bailleurs à confirmer avec les UT </t>
  </si>
  <si>
    <t>CO-4MI-32</t>
  </si>
  <si>
    <t>Inspection télévisée réseau d'assainissement secteur Convention
Topo et foncier secteur Convention relevé de géomètre et étude foncière</t>
  </si>
  <si>
    <t>CO-4MI-31</t>
  </si>
  <si>
    <t>Relevé topographique et plan de coordination des réseaux au secteur Vieux Barbusse
Inspection télévisé pour les réseaux d'assainissement au secteur Robespierre
Inspection télévisé pour les réseaux d'assainissement au secteur Vieux Barbusse</t>
  </si>
  <si>
    <t>AU-V4C-19</t>
  </si>
  <si>
    <t xml:space="preserve">relevés topo et réseaux général sur les voiries publiques du secteur </t>
  </si>
  <si>
    <t>AU-V4C-03</t>
  </si>
  <si>
    <t xml:space="preserve">étude réseau dalle villette </t>
  </si>
  <si>
    <t>AU-EMA-33</t>
  </si>
  <si>
    <t>Relevé topographique et plan de coordination des réseaux (publics)</t>
  </si>
  <si>
    <t>EP-SOU-14</t>
  </si>
  <si>
    <t>La source amiante et pollution</t>
  </si>
  <si>
    <t>La Source - Diagnostics techniques voiries  (ITV, topo, réseaux)</t>
  </si>
  <si>
    <t>Recettes bailleurs à confirmer avec les UT +montants à vérifier pour répartition dans chaque étude GEN</t>
  </si>
  <si>
    <t>EP-ORG-17</t>
  </si>
  <si>
    <t>Orgemont - amiante et pollution</t>
  </si>
  <si>
    <t>Orgemont - Diagnostics techniques voiries (ITV, topo, réseaux)</t>
  </si>
  <si>
    <t>GEN-14</t>
  </si>
  <si>
    <t>VSO-COR-09</t>
  </si>
  <si>
    <t xml:space="preserve">
participation du bailleur  </t>
  </si>
  <si>
    <t xml:space="preserve">VI-LEU-27
</t>
  </si>
  <si>
    <t>Mission d'assistance démarche culturelle participative et durable</t>
  </si>
  <si>
    <t>accompagnement</t>
  </si>
  <si>
    <t xml:space="preserve">fonctionnement </t>
  </si>
  <si>
    <t>SO-PRIR-06</t>
  </si>
  <si>
    <t>AMO démarche participative</t>
  </si>
  <si>
    <t>PI-JON-08</t>
  </si>
  <si>
    <t>Démarche participatives et durables</t>
  </si>
  <si>
    <t>ID-QSU-05</t>
  </si>
  <si>
    <t xml:space="preserve">AMO démarche participative </t>
  </si>
  <si>
    <t xml:space="preserve">participation bailleur sur QS </t>
  </si>
  <si>
    <t xml:space="preserve">PLAINE COMMUNE </t>
  </si>
  <si>
    <t>démarche artistique expérimentale</t>
  </si>
  <si>
    <t>CO-4MI-36</t>
  </si>
  <si>
    <t>AMO sur la co-construction</t>
  </si>
  <si>
    <t>GEN-15</t>
  </si>
  <si>
    <t>ST-PRE-11</t>
  </si>
  <si>
    <t>Diagnostic social et d'usage en vue du volet GUP de la convention</t>
  </si>
  <si>
    <t>financement ANRU minorés
augmentation part Pl Co + part Bailleurs</t>
  </si>
  <si>
    <t>SO-ISD-09</t>
  </si>
  <si>
    <t>AMO et diagnostic gestion urbaine de proximité / gestion de l'attente</t>
  </si>
  <si>
    <t>PI-JON-11</t>
  </si>
  <si>
    <t>Diagnostic GUP</t>
  </si>
  <si>
    <t>GEN-16</t>
  </si>
  <si>
    <t xml:space="preserve">VI-LEU-28
VI-LEU-30
</t>
  </si>
  <si>
    <t>Communication 2016-2017
Animation maison des projets</t>
  </si>
  <si>
    <t>ST-PRE-10</t>
  </si>
  <si>
    <t>Communication NPNRU : supports</t>
  </si>
  <si>
    <t>ST-CSL-18
ST-CSL-17</t>
  </si>
  <si>
    <t>SO-ISD-08</t>
  </si>
  <si>
    <t>SD-FSC-08</t>
  </si>
  <si>
    <t>Supports de communication</t>
  </si>
  <si>
    <t>SD-FMO-15</t>
  </si>
  <si>
    <t>SD-CVI-21</t>
  </si>
  <si>
    <t>PI-JON-09
PI-JON-14</t>
  </si>
  <si>
    <t>CO-4MI-28</t>
  </si>
  <si>
    <t>AU-V4C-17
AU-V4C-15</t>
  </si>
  <si>
    <t>AU-EMA-36
AU-EMA-31</t>
  </si>
  <si>
    <t>VI-EP-1</t>
  </si>
  <si>
    <t>Etude réseau de chaleur</t>
  </si>
  <si>
    <t>SIPPEREC</t>
  </si>
  <si>
    <t>LOGIREP</t>
  </si>
  <si>
    <t>EP-CV-01</t>
  </si>
  <si>
    <t>Centre-Ville</t>
  </si>
  <si>
    <t>Centre-Ville - Etudes de faisabilité techniques et juridiques- Ilot marché - OPH93</t>
  </si>
  <si>
    <t>EP-CV-02</t>
  </si>
  <si>
    <t>Centre-Ville - AMO de coordination du Projet urbain et de pilotage des études urbaines et techniques de l'esplanade de l'Hôtel de Ville</t>
  </si>
  <si>
    <t>EP-CV-03</t>
  </si>
  <si>
    <t>Centre-Ville - Diagnostics techniques - Epinay 34 et 37 (rues de Paris/Guynemer)</t>
  </si>
  <si>
    <t>EP-CV-04</t>
  </si>
  <si>
    <t>Centre-Ville - Diagnostic pré-opérationnel Bourse du travail</t>
  </si>
  <si>
    <t/>
  </si>
  <si>
    <t>EP-CV-05</t>
  </si>
  <si>
    <t>Centre-Ville - Diagnostic pré-opérationnel Ecole Georges Martin</t>
  </si>
  <si>
    <t>SO-PRIR-01</t>
  </si>
  <si>
    <t>Rosiers Debain</t>
  </si>
  <si>
    <t>Etude sur 8 îlots d'habitat dégradé</t>
  </si>
  <si>
    <t>SO-PRIR-02</t>
  </si>
  <si>
    <t>Etude pré-opérationnelle habitat privé</t>
  </si>
  <si>
    <t>SO-PRIR-03</t>
  </si>
  <si>
    <t>Etude complémentaire sur 2 îlots</t>
  </si>
  <si>
    <t>SO-PRIR-04</t>
  </si>
  <si>
    <t>Etude sur la place de l'Amitié entre les peuples</t>
  </si>
  <si>
    <t>SO-PRIR-05</t>
  </si>
  <si>
    <t>Etudes préalables à la réhabilitation-extension d'un équipement scolaire</t>
  </si>
  <si>
    <t>Transverse AUBERVILLIERS</t>
  </si>
  <si>
    <t>Etude pré-opérationnelle sur les copropriété (V4C )</t>
  </si>
  <si>
    <t xml:space="preserve">Plaine Commune / Est Ensemble </t>
  </si>
  <si>
    <t>Transverse SAINT-DENIS</t>
  </si>
  <si>
    <t>à fusionner avec AMO conseil citoyens ? (expertise co-construction)</t>
  </si>
  <si>
    <t>Transverse EPINAY</t>
  </si>
  <si>
    <t>Centre ville Insalubrité et basilique</t>
  </si>
  <si>
    <t>03 Transverse AUBERVILLIERS</t>
  </si>
  <si>
    <t>04 Les 4000</t>
  </si>
  <si>
    <t>05 Orgemont</t>
  </si>
  <si>
    <t>06 La Source</t>
  </si>
  <si>
    <t>07 Transverse EPINAY</t>
  </si>
  <si>
    <t>08 St Ouen / Ile St Denis</t>
  </si>
  <si>
    <t>09 Fauvettes / Joncherolles</t>
  </si>
  <si>
    <t>10 Lafargue / Parmentier</t>
  </si>
  <si>
    <t>13 Centre ville Insalubrité et basilique</t>
  </si>
  <si>
    <t>14 Transverse SAINT-DENIS</t>
  </si>
  <si>
    <t>15 Clos Saint-Lazare</t>
  </si>
  <si>
    <t>16 La Prêtresse</t>
  </si>
  <si>
    <t>18 Saint-Leu</t>
  </si>
  <si>
    <t>VI-LEU-38</t>
  </si>
  <si>
    <t>Eude de faisabilité Centre Nautique Villetaneuse</t>
  </si>
  <si>
    <t>Ville de Villetaneuse</t>
  </si>
  <si>
    <t>Nouvelle étude</t>
  </si>
  <si>
    <t>-</t>
  </si>
  <si>
    <t>fusion des lignes -20 000</t>
  </si>
  <si>
    <t>fusion des lignes et + 20 000</t>
  </si>
  <si>
    <t>il manque une étude dite étude urbaine pour définir les orientations glolbales du projet (plan masse)
rattachemment à VAL de France 15 000HT et 6 000 ANRU</t>
  </si>
  <si>
    <t xml:space="preserve">La subvention sera versée à la ville de Pantin qui est coordinatrice du groupement.
90 000HT / 45 000 ANRU </t>
  </si>
  <si>
    <t>TOTAL CE</t>
  </si>
  <si>
    <t xml:space="preserve">différentiel </t>
  </si>
  <si>
    <t xml:space="preserve">AU-V4C-10 a rattacher a Est-Ensemble </t>
  </si>
  <si>
    <t>TOTAL ANRU après CE</t>
  </si>
  <si>
    <t>RAS</t>
  </si>
  <si>
    <t>TOTAL Aubervilliers</t>
  </si>
  <si>
    <t>explication</t>
  </si>
  <si>
    <t>études invalidées par le CE : 
ISD-QSU-02 (15 000)
VSO-COR-03 (16 000)
 VSO-COR-05 (12500)</t>
  </si>
  <si>
    <t>rebasculement vers Val de France</t>
  </si>
  <si>
    <t>TOTAL SAINT DENIS</t>
  </si>
  <si>
    <t>études invalidées par le CE : 
SD-CVI-06 : 22 500
SD-CVI-07 : 27 500</t>
  </si>
  <si>
    <t>étude invalidée par le CE
VI-LEU-38; 86 244
VI-LEU-14 : 4 375
VI-LEU-23 :7 709
étude déjà lancée 
VI-LEU-01 : 10 417</t>
  </si>
  <si>
    <t>a rajouter 
(cf. échange de mail)</t>
  </si>
  <si>
    <t>QUARTIERS</t>
  </si>
  <si>
    <t>ASL d'orgemont</t>
  </si>
  <si>
    <t>GEN-01</t>
  </si>
  <si>
    <t>Métabolisme urbain pour Plaine Commune (sites NPNRU et projets d'aménagements structurants)</t>
  </si>
  <si>
    <t>GEN-02</t>
  </si>
  <si>
    <t>Mixité et évolutions des dynamiques au sein du parc social</t>
  </si>
  <si>
    <t>GEN-03</t>
  </si>
  <si>
    <t>Etude sur  les dynamiques, l’attractivité et les potentialités et  du marché immobilier dans les différents QPV et secteurs ANRU du territoire »</t>
  </si>
  <si>
    <t>GEN-05</t>
  </si>
  <si>
    <t xml:space="preserve">Bien-être dans l'espace public  </t>
  </si>
  <si>
    <t>70% PCH
19% Toit et Joie
11% Antin</t>
  </si>
  <si>
    <t>ANTIN</t>
  </si>
  <si>
    <t>12,5%PCH
12,5% LOGIREP</t>
  </si>
  <si>
    <t xml:space="preserve">DRU </t>
  </si>
  <si>
    <t>EMA</t>
  </si>
  <si>
    <t>V4C</t>
  </si>
  <si>
    <t>CV</t>
  </si>
  <si>
    <t>SOU</t>
  </si>
  <si>
    <t>ORG</t>
  </si>
  <si>
    <t>4MI</t>
  </si>
  <si>
    <t>QS</t>
  </si>
  <si>
    <t>VSO</t>
  </si>
  <si>
    <t>COR</t>
  </si>
  <si>
    <t>PRE</t>
  </si>
  <si>
    <t>CSL</t>
  </si>
  <si>
    <t>JON</t>
  </si>
  <si>
    <t>LEU</t>
  </si>
  <si>
    <t>CVI</t>
  </si>
  <si>
    <t>FMO</t>
  </si>
  <si>
    <t>FSC</t>
  </si>
  <si>
    <t>1 seul bon de commande pour les études commerce</t>
  </si>
  <si>
    <t>SEMISO</t>
  </si>
  <si>
    <t>1 seul bon de commande pour les études stationnement</t>
  </si>
  <si>
    <t>1 seul bon de commande pour les études stationnement
35000 pour VSO
15000 pour COR</t>
  </si>
  <si>
    <t>Etude urbaine (+montage opérationnel)</t>
  </si>
  <si>
    <t>ICF la Sablière</t>
  </si>
  <si>
    <t>SAIEM</t>
  </si>
  <si>
    <t>TF FINALISE</t>
  </si>
  <si>
    <t>Code GEN</t>
  </si>
  <si>
    <t>cout HT</t>
  </si>
  <si>
    <t>cout TTC</t>
  </si>
  <si>
    <t>Subvention ANRU (total des lignes)</t>
  </si>
  <si>
    <t>Villes</t>
  </si>
  <si>
    <t>DAS : Finance</t>
  </si>
  <si>
    <t>Plaine Commune / 1 marché unique</t>
  </si>
  <si>
    <t xml:space="preserve">pro rata par site : 21 400 euros, co-financements à prévoir pour la part Plaine Commune (négociations en cours)
</t>
  </si>
  <si>
    <t>DAS : DDUS</t>
  </si>
  <si>
    <t>Plaine Commune  / 1 marché unique / fonctionnement</t>
  </si>
  <si>
    <t>avril-16</t>
  </si>
  <si>
    <t>SD-FSC-07 (valorisation ANRU 1) / ST-CSL-16</t>
  </si>
  <si>
    <t>VI-LEU-32 / PI-JON-10 / EP-TRAN-5 (EP-ORG-19 et EP-SOU-12) / AU-EMA-32 / ST-PRE-12 / CO-4MI-37 / SO-VSO-02 / SO-COR-4 / ID-QSU-06</t>
  </si>
  <si>
    <t>Commerces et  activités</t>
  </si>
  <si>
    <t>Economique</t>
  </si>
  <si>
    <t>Plaine Commune  / marché à bon de commandes sur le volet commerces / + marché séparé pour volet activité</t>
  </si>
  <si>
    <t>cout estimatif de la part commerces : 120 000euros / cout estimatif de la part activités : delta supplémentaire</t>
  </si>
  <si>
    <t xml:space="preserve">SO-VSO-1
</t>
  </si>
  <si>
    <t>Plaine Commune /  marché unique</t>
  </si>
  <si>
    <t>CO-4MI-27 / VI-LEU-33 / SO-ISD-10</t>
  </si>
  <si>
    <t>Développement durable / BET environnement /schémas directeur</t>
  </si>
  <si>
    <t>Plaine Commune  / marchés séparés</t>
  </si>
  <si>
    <t>SD-FSC-6</t>
  </si>
  <si>
    <t>Etude desserte transport en commun - Nord est Plaine Commune</t>
  </si>
  <si>
    <t xml:space="preserve">
50% CDC</t>
  </si>
  <si>
    <t>ST-CSL-23 / ID-QSU-04 / VI-LEU-36 / SD-FSC-12 / VSO-COR-10 / SD-FMO-13 / ST-PRE-13 / EP-SOU-13 / EP-ORG-18 / SD-CVI-24 / PI-JON-13</t>
  </si>
  <si>
    <t>Etude multimodale de stationnement et de déplacements</t>
  </si>
  <si>
    <t>Plaine Commune / marché à bon de commandes</t>
  </si>
  <si>
    <t>montant renseigné par la DGST 
part bailleurs : ISD/SO 
+SD (12,5% PCH et 12,5 Logirep)</t>
  </si>
  <si>
    <t>GEN-09</t>
  </si>
  <si>
    <t>Schémas directeur secteur RD30 / RN301 (compléments aux études urbaines, étude scénario JO autou du Parc G. Valbon</t>
  </si>
  <si>
    <t>Plaine commune</t>
  </si>
  <si>
    <t>jan-17</t>
  </si>
  <si>
    <t>SD-FMO-16 / SD-FSC-11 / CO-4MI-29 et 34 / ST-PRE-7 / ST-CSL-21 / VI-LEU-34 / AU-EMA-34 / EP-SOU-15</t>
  </si>
  <si>
    <t>Etudes phytosanitaires et hydrogéologiques</t>
  </si>
  <si>
    <t>Plaine Commune / marchés à bon de commandes et séparés</t>
  </si>
  <si>
    <t>10 000e EMA /
10 000e EP-SOU 
Montant initial DGST =132 000</t>
  </si>
  <si>
    <t>mai-16</t>
  </si>
  <si>
    <t>SD-CVI-22 / AU-V4C-18 / CO-4MI-35/ EP-ORG-02</t>
  </si>
  <si>
    <t>Etudes structures</t>
  </si>
  <si>
    <t>VI-LEU-25 / AU-EMA-35 / AU-V4C-1 / ST-CSL-20 / ST-PRE-6 / SO-ISD-12 / CO-4MI-30 et 33 / PI-JON-15 / SD-FSC-9 / SD-FMO-14 / EP-ORG-3 / EP-SOU-14</t>
  </si>
  <si>
    <t>Reconnaissance amiante et pollution et géotechnique</t>
  </si>
  <si>
    <t>Plaine Commune / marché à bon de commandes et séparés</t>
  </si>
  <si>
    <t>VI-LEU-26 / CO-4MI-31 et 32 / AU-EMA-33 / AU-V4C-19 et 03 / SD-FSC-12 (valorisation ANRU1) / SD-CVI-23 / SD-FMO-17 (valorisation ANRU1) -10 / ST-PRE-8 / PI-JON-12 / ST-CSL-19 / SO-ISD-11 / EP-ORG-14 / EP-SOU-17 / EP-CV-2</t>
  </si>
  <si>
    <t>Etudes topographiques et réseaux</t>
  </si>
  <si>
    <t>25% au pro rata des bailleurs sur le montant des études lever TOPO et plan de coordination des réseaux. Lancement étude TOPO Aubervilliers après le CE</t>
  </si>
  <si>
    <t>PI-JON-8 / VI-LEU-27 / ID-QSU-5 / VSO-COR-9 / SO-PRIR-6  / CO-4MI-36</t>
  </si>
  <si>
    <t>Démarches culturelles, durable et co-construction</t>
  </si>
  <si>
    <t>Plaine Commune / marchés séparés / fonctionnement</t>
  </si>
  <si>
    <t xml:space="preserve">SO-ISD-09 / ST-PRE-11 / PI-JON-11
</t>
  </si>
  <si>
    <t>Elaboration du projet de gestion dans les quartiers NPNRU  n'ayant pas fait l'objet d'un précédent PRU ou présentant les problématiques de gestion les plus dures</t>
  </si>
  <si>
    <t>financement bailleurs uniquement</t>
  </si>
  <si>
    <t>mars-16</t>
  </si>
  <si>
    <t>VI-LEU-28-30 / SD-FSC-08 / SD-FMO-15 / SD-CVI-21 / PI-JON-9-14 / AU-EMA-31 / AU-EMA-36 / AU-V4C-17 / SO-ISD-8 / CO-4MI-28 / ST-PRE-10 / ST-CSL-18-17</t>
  </si>
  <si>
    <t>Maison du projet - Animation</t>
  </si>
  <si>
    <t>Autres : financement ADEME 18%</t>
  </si>
  <si>
    <t xml:space="preserve">GEN-1 </t>
  </si>
  <si>
    <t>GEN-2 -</t>
  </si>
  <si>
    <t xml:space="preserve">GEN-2 </t>
  </si>
  <si>
    <t>GEN-3-</t>
  </si>
  <si>
    <t xml:space="preserve">GEN-4- </t>
  </si>
  <si>
    <t xml:space="preserve">GEN-5- </t>
  </si>
  <si>
    <t xml:space="preserve">GEN-6- </t>
  </si>
  <si>
    <t>Communication 
Animation maison des projets</t>
  </si>
  <si>
    <t xml:space="preserve">Communication </t>
  </si>
  <si>
    <t xml:space="preserve">Communication 
forfait suite arbitrage budgétaire par UT </t>
  </si>
  <si>
    <t>GEN-8</t>
  </si>
  <si>
    <t>GEN-7-</t>
  </si>
  <si>
    <t>GEN-9</t>
  </si>
  <si>
    <t xml:space="preserve"> GEN-13</t>
  </si>
  <si>
    <t xml:space="preserve"> GEN-14</t>
  </si>
  <si>
    <t>fait en interne</t>
  </si>
  <si>
    <t>DEF-AU-EMA-01</t>
  </si>
  <si>
    <t>DEF-AU-TRANS-01</t>
  </si>
  <si>
    <t>DEF-AU-TRANS-02</t>
  </si>
  <si>
    <t>DEF-AU-EMA-02</t>
  </si>
  <si>
    <t>DEF-AU-EMA-03</t>
  </si>
  <si>
    <t>DEF-AU-TRANS-03</t>
  </si>
  <si>
    <t>DEF-AU-TRANS-04</t>
  </si>
  <si>
    <t>DEF-AU-EMA-04</t>
  </si>
  <si>
    <t>DEF-AU-TRANS-06</t>
  </si>
  <si>
    <t>DEF-AU-EMA-05</t>
  </si>
  <si>
    <t>DEF-AU-EMA-06</t>
  </si>
  <si>
    <t>DEF-AU-TRANS-07</t>
  </si>
  <si>
    <t>DEF-AU-EMA-07</t>
  </si>
  <si>
    <t>DEF-AU-EMA-08</t>
  </si>
  <si>
    <t>DEF-AU-EMA-09</t>
  </si>
  <si>
    <t>DEF-AU-EMA-10</t>
  </si>
  <si>
    <t>DEF-AU-EMA-11</t>
  </si>
  <si>
    <t>DEF-AU-V4C-01</t>
  </si>
  <si>
    <t>DEF-AU-V4C-02</t>
  </si>
  <si>
    <t>DEF-AU-V4C-03</t>
  </si>
  <si>
    <t>DEF-AU-V4C-04</t>
  </si>
  <si>
    <t>DEF-AU-V4C-05</t>
  </si>
  <si>
    <t>DEF-AU-V4C-06</t>
  </si>
  <si>
    <t>DEF-AU-V4C-07</t>
  </si>
  <si>
    <t>DEF-AU-V4C-08</t>
  </si>
  <si>
    <t>DEF-AU-V4C-09</t>
  </si>
  <si>
    <t>DEF-AU-V4C-10</t>
  </si>
  <si>
    <t>DEF-CO-4MI-01</t>
  </si>
  <si>
    <t>DEF-CO-4MI-02</t>
  </si>
  <si>
    <t>DEF-CO-4MI-03</t>
  </si>
  <si>
    <t>DEF-CO-4MI-04</t>
  </si>
  <si>
    <t>DEF-CO-4MI-05</t>
  </si>
  <si>
    <t>DEF-CO-4MI-06</t>
  </si>
  <si>
    <t>DEF-CO-4MI-07</t>
  </si>
  <si>
    <t>DEF-CO-4MI-08</t>
  </si>
  <si>
    <t>DEF-CO-4MI-09</t>
  </si>
  <si>
    <t>DEF-CO-4MI-10</t>
  </si>
  <si>
    <t>DEF-CO-4MI-11</t>
  </si>
  <si>
    <t>DEF-CO-4MI-12</t>
  </si>
  <si>
    <t>DEF-CO-4MI-13</t>
  </si>
  <si>
    <t>DEF-CO-4MI-14</t>
  </si>
  <si>
    <t>DEF-CO-4MI-15</t>
  </si>
  <si>
    <t>DEF-CO-4MI-16</t>
  </si>
  <si>
    <t>DEF-CO-4MI-17</t>
  </si>
  <si>
    <t>DEF-CO-4MI-18</t>
  </si>
  <si>
    <t>DEF-EP-CV-01</t>
  </si>
  <si>
    <t>DEF-EP-CV-02</t>
  </si>
  <si>
    <t>DEF-EP-CV-04</t>
  </si>
  <si>
    <t>DEF-EP-CV-05</t>
  </si>
  <si>
    <t>DEF-PA-V4C-01</t>
  </si>
  <si>
    <t>DEF-PA-V4C-02</t>
  </si>
  <si>
    <t>DEF-PA-V4C-03</t>
  </si>
  <si>
    <t>DEF-PA-V4C-04</t>
  </si>
  <si>
    <t>DEF-PA-V4C-05</t>
  </si>
  <si>
    <t>DEF-PA-V4C-06</t>
  </si>
  <si>
    <t>DEF-PA-V4C-07</t>
  </si>
  <si>
    <t>DEF-EP-TRANS-01</t>
  </si>
  <si>
    <t>DEF-EP-TRANS-02</t>
  </si>
  <si>
    <t>DEF-EP-TRANS-03</t>
  </si>
  <si>
    <t>DEF-EP-TRANS-04</t>
  </si>
  <si>
    <t>DEF-EP-ORG-02</t>
  </si>
  <si>
    <t>DEF-EP-ORG-03</t>
  </si>
  <si>
    <t>DEF-EP-ORG-04</t>
  </si>
  <si>
    <t>DEF-EP-ORG-05</t>
  </si>
  <si>
    <t>DEF-EP-ORG-06</t>
  </si>
  <si>
    <t>DEF-EP-ORG-07</t>
  </si>
  <si>
    <t>DEF-EP-ORG-08</t>
  </si>
  <si>
    <t>DEF-EP-ORG-09</t>
  </si>
  <si>
    <t>DEF-EP-ORG-10</t>
  </si>
  <si>
    <t>DEF-EP-ORG-11</t>
  </si>
  <si>
    <t>DEF-EP-ORG-12</t>
  </si>
  <si>
    <t>DEF-EP-ORG-13</t>
  </si>
  <si>
    <t>DEF-EP-SOU-01</t>
  </si>
  <si>
    <t>DEF-EP-SOU-02</t>
  </si>
  <si>
    <t>DEF-EP-SOU-03</t>
  </si>
  <si>
    <t>DEF-EP-SOU-04</t>
  </si>
  <si>
    <t>DEF-EP-SOU-05</t>
  </si>
  <si>
    <t>DEF-EP-SOU-06</t>
  </si>
  <si>
    <t>DEF-EP-SOU-07</t>
  </si>
  <si>
    <t>DEF-EP-SOU-08</t>
  </si>
  <si>
    <t>DEF-EP-SOU-09</t>
  </si>
  <si>
    <t>DEF-EP-SOU-10</t>
  </si>
  <si>
    <t>DEF-PI-JON-02</t>
  </si>
  <si>
    <t>DEF-PI-JON-01</t>
  </si>
  <si>
    <t>DEF-PI-JON-03</t>
  </si>
  <si>
    <t>DEF-PI-LPA-01</t>
  </si>
  <si>
    <t>DEF-PI-LPA-02</t>
  </si>
  <si>
    <t>DEF-PI-LPA-03</t>
  </si>
  <si>
    <t>DEF-PI-JON-04</t>
  </si>
  <si>
    <t>DEF-PI-JON-05</t>
  </si>
  <si>
    <t>DEF-PI-JON-06</t>
  </si>
  <si>
    <t>PI-JON-16 /PI-JON-17</t>
  </si>
  <si>
    <t>DEF-SD-CVI-01</t>
  </si>
  <si>
    <t>DEF-SD-CVI-02</t>
  </si>
  <si>
    <t>DEF-SD-TRANS-01</t>
  </si>
  <si>
    <t>DEF-SD-CVI-03</t>
  </si>
  <si>
    <t>DEF-SD-CVI-04</t>
  </si>
  <si>
    <t>DEF-SD-CVI-05</t>
  </si>
  <si>
    <t>DEF-SD-CVI-06</t>
  </si>
  <si>
    <t>DEF-SD-CVI-07</t>
  </si>
  <si>
    <t>DEF-SD-CVI-08</t>
  </si>
  <si>
    <t>DEF-SD-TRANS-02</t>
  </si>
  <si>
    <t>Animation Maison du projet</t>
  </si>
  <si>
    <t>DEF-SD-TRANS-03</t>
  </si>
  <si>
    <t>DEF-SD-CVI-09</t>
  </si>
  <si>
    <t>DEF-SD-CVI-10</t>
  </si>
  <si>
    <t>DEF-SD-TRANS-04</t>
  </si>
  <si>
    <t>SD-CVI-17 / SD-FMO-03 / SD-FSC-01/</t>
  </si>
  <si>
    <t>SD-CVI-25 / SD-CVI-26 / SD-FMO-18 / SD-FSC-13 / SD-FSC-15</t>
  </si>
  <si>
    <t>DEF-SD-TRANS-05</t>
  </si>
  <si>
    <t>SD-CVI-27 / SD-FMO-19 / SD-FSC-14 /SD-FSC-16</t>
  </si>
  <si>
    <t>DEF-SD-FMO-01</t>
  </si>
  <si>
    <t>DEF-SD-FMO-03</t>
  </si>
  <si>
    <t>DEF-SD-FMO-04</t>
  </si>
  <si>
    <t>DEF-SD-FMO-05</t>
  </si>
  <si>
    <t>DEF-SD-FSC-02</t>
  </si>
  <si>
    <t>DEF-SD-FSC-03</t>
  </si>
  <si>
    <t>DEF-ST-CSL-01</t>
  </si>
  <si>
    <t>DEF-ST-CSL-02</t>
  </si>
  <si>
    <t>DEF-ST-CSL-03</t>
  </si>
  <si>
    <t>DEF-ST-CSL-04</t>
  </si>
  <si>
    <t>Transverse Stains</t>
  </si>
  <si>
    <t>ST-CSL-22 /_x000D_ ST-PRE-09 / ST-CSL-12</t>
  </si>
  <si>
    <t>DEF-ST-CSL-05</t>
  </si>
  <si>
    <t>DEF-ST-CSL-06</t>
  </si>
  <si>
    <t>DEF-ST-CSL-07</t>
  </si>
  <si>
    <t>DEF-ST-CSL-08</t>
  </si>
  <si>
    <t>DEF-ST-CSL-09</t>
  </si>
  <si>
    <t>DEF-ST-TRANS-01</t>
  </si>
  <si>
    <t>DEF-ST-TRANS-02</t>
  </si>
  <si>
    <t>DEF-ST-PRE-01</t>
  </si>
  <si>
    <t>DEF-ST-PRE-02</t>
  </si>
  <si>
    <t>DEF-ST-PRE-03</t>
  </si>
  <si>
    <t>DEF-VI-LEU-01</t>
  </si>
  <si>
    <t>DEF-VI-LEU-02</t>
  </si>
  <si>
    <t>DEF-VI-LEU-03</t>
  </si>
  <si>
    <t>DEF-VI-LEU-04</t>
  </si>
  <si>
    <t>DEF-VI-LEU-05</t>
  </si>
  <si>
    <t>DEF-VI-LEU-06</t>
  </si>
  <si>
    <t>DEF-VI-LEU-07</t>
  </si>
  <si>
    <t>DEF-VI-LEU-08</t>
  </si>
  <si>
    <t>DEF-VI-LEU-09</t>
  </si>
  <si>
    <t>DEF-VI-LEU-10</t>
  </si>
  <si>
    <t>DEF-VI-LEU-11</t>
  </si>
  <si>
    <t>DEF-VI-LEU-12</t>
  </si>
  <si>
    <t>DEF-VI-LEU-13</t>
  </si>
  <si>
    <t>DEF-VI-LEU-14</t>
  </si>
  <si>
    <t>DEF-VI-LEU-15</t>
  </si>
  <si>
    <t>DEF-VI-LEU-16</t>
  </si>
  <si>
    <t>DEF-VI-LEU-17</t>
  </si>
  <si>
    <t>DEF-VI-LEU-18</t>
  </si>
  <si>
    <t>DEF-VI-LEU-19</t>
  </si>
  <si>
    <t>DEF-VI-LEU-20</t>
  </si>
  <si>
    <t>DEF-VI-LEU-21</t>
  </si>
  <si>
    <t>DEF-VI-LEU-22</t>
  </si>
  <si>
    <t>DEF-VI-LEU-23</t>
  </si>
  <si>
    <t>ISD-QSU-01 / VSO-COR-01 / SO-COR-01</t>
  </si>
  <si>
    <t>DEF-SO-ISD-01</t>
  </si>
  <si>
    <t>Quartiers Sud</t>
  </si>
  <si>
    <t>DEF-ISD-QSU-01</t>
  </si>
  <si>
    <t>Cordon</t>
  </si>
  <si>
    <t>DEF-SO-COR-01</t>
  </si>
  <si>
    <t>DEF-SO-COR-02</t>
  </si>
  <si>
    <t>DEF-SO-ISD-02</t>
  </si>
  <si>
    <t>DEF-SO-ISD-03</t>
  </si>
  <si>
    <t>DEF-SO-ISD-04</t>
  </si>
  <si>
    <t>DEF-SO-ISD-05</t>
  </si>
  <si>
    <t>SO-ISD-01 / SO-ISD-03</t>
  </si>
  <si>
    <t>SO-ISD-05 / VSO-COR-04 /VSO-COR-07</t>
  </si>
  <si>
    <t xml:space="preserve">St Ouen </t>
  </si>
  <si>
    <t>DEF-SO-PRIR-01</t>
  </si>
  <si>
    <t>DEF-SO-PRIR-02</t>
  </si>
  <si>
    <t>DEF-SO-PRIR-03</t>
  </si>
  <si>
    <t>DEF-SO-PRIR-04</t>
  </si>
  <si>
    <t>DEF-SO-PRIR-05</t>
  </si>
  <si>
    <t>DEF-VSO-COR-03</t>
  </si>
  <si>
    <t>DEF-EP-CV-03</t>
  </si>
  <si>
    <t>DEF-EP-ORG-01</t>
  </si>
  <si>
    <t>DEF-SD-FMO-02</t>
  </si>
  <si>
    <t>20 Cordon</t>
  </si>
  <si>
    <t xml:space="preserve">21 St Ouen </t>
  </si>
  <si>
    <t>17 transverse Stains</t>
  </si>
  <si>
    <t>17 Transverse Stains</t>
  </si>
  <si>
    <t>19 Quartiers Sud</t>
  </si>
  <si>
    <t>22 PRIR Rosiers Debain</t>
  </si>
  <si>
    <t>23 PRIR Centre-Ville d'Epinay</t>
  </si>
  <si>
    <t xml:space="preserve">total PRIR </t>
  </si>
  <si>
    <t>Total ANRU sans les PRIR</t>
  </si>
  <si>
    <t>TOTAL ingénierie Plaine Commune</t>
  </si>
  <si>
    <t>TOTAL ingénierie Bailleurs</t>
  </si>
  <si>
    <t>TOTAL études GEN</t>
  </si>
  <si>
    <t>TOTAL NPRU</t>
  </si>
  <si>
    <t>ANRU</t>
  </si>
  <si>
    <t>ANAH</t>
  </si>
  <si>
    <t>PIA</t>
  </si>
  <si>
    <t>ADEME</t>
  </si>
  <si>
    <t>checkbleu</t>
  </si>
  <si>
    <t>check rouge</t>
  </si>
  <si>
    <t xml:space="preserve">Ville de Pantin </t>
  </si>
  <si>
    <t xml:space="preserve">Est-Ensemble </t>
  </si>
  <si>
    <t>ASGO</t>
  </si>
  <si>
    <t>SEM PCD</t>
  </si>
  <si>
    <t>La courneuve : 70 000euros 
SO-ISD : 70 000e ==&gt; augmentation ligne schéma directeur suite au diagnostic patrimoine complexe</t>
  </si>
  <si>
    <t xml:space="preserve">Check bleu </t>
  </si>
  <si>
    <t>Expertises habitants</t>
  </si>
  <si>
    <t>DEF-SO-VSO-COR-01</t>
  </si>
  <si>
    <t>DEF-SO-VSO-COR-02</t>
  </si>
  <si>
    <t xml:space="preserve">Programmation groupe scolaire </t>
  </si>
  <si>
    <t>Etude  parking convention</t>
  </si>
  <si>
    <t>CO-4MI-20 / CO-MI-21</t>
  </si>
  <si>
    <t>CO-4MI-19 / CO-4MI-24</t>
  </si>
  <si>
    <t>CO-4MI-10 / CO-4MI-39</t>
  </si>
  <si>
    <t>CO-4MI-41 /CO-4MI-42</t>
  </si>
  <si>
    <t>accompagnement PIA et NPNRU : AMO co-construction et innovation sociale/environnementale</t>
  </si>
  <si>
    <t>accompagnement de la direction de projet sur la démarche AMI (innovation sociale) _x000D_
_x000D_Autre : financement AMI "villes durables et solidaires"</t>
  </si>
  <si>
    <t>accompagnement filière et pôle ESS : autour du réemploi pour le Clos</t>
  </si>
  <si>
    <t xml:space="preserve">accompagnement filière et pôle ESS </t>
  </si>
  <si>
    <t>2016</t>
  </si>
  <si>
    <t>2017</t>
  </si>
  <si>
    <t>2018</t>
  </si>
  <si>
    <t xml:space="preserve">
études structure dalle rouge : marché et ligne d'étude séparé</t>
  </si>
  <si>
    <t>étude réalisée, cofinancée par l'ANAH (58 373€)</t>
  </si>
  <si>
    <t>étude réalisée, cofinancée par l'ANAH et le CRIF
Valorisation financement PNRQAD (104 000€)</t>
  </si>
  <si>
    <t xml:space="preserve"> financement ANAH</t>
  </si>
  <si>
    <t>La Source - Diagnostics techniques et sociaux - rue de la Justice</t>
  </si>
  <si>
    <t>Construite dans les années 60, la résidence Les Presles Maupas est située à l’extrême nord du quartier La Source-Les Presles. Non traité dans le cadre du PNRU 1, ce site nécessite aujourd’hui d’importants travaux de réhabilitation, et l’opportunité d’une démolition totale ou partielle doit être étudiée._x000D_
 _x000D_
Au stade de préfiguration de la future convention ANRU, il est primordial de réaliser : un diagnostic technique  global de ce patrimoine afin d’évaluer l’état général des bâtiments (clos, couvert, équipements des parties communes et logements…), et de mesurer leur performance énergétique et thermique ; et/ou une étude de maîtrise d’œuvre avant démolition._x000D_
 _x000D_
Les études comprennent également un diagnostic social
En définitive, les études techniques engagées sur ce secteur, permettront d’effectuer un arbitrage progressif, requalification ou démolition éventuelle, sur ce patrimoine en fonction des équilibres techniques et économiques du futur projet, et en s’appuyant sur l’étude urbaine du secteur.</t>
  </si>
  <si>
    <t>surcoût pris en charge directement sur le budget de la direction de l'habitat .
Plan de financement requalé sur la base de la tranche ferme et conditionnelle (tranche ferme à 128 850)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</si>
</sst>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0.00\ &quot;€&quot;;[Red]\-#,##0.00\ &quot;€&quot;"/>
    <numFmt numFmtId="43" formatCode="_-* #,##0.00\ _€_-;\-* #,##0.00\ _€_-;_-* &quot;-&quot;??\ _€_-;_-@_-"/>
    <numFmt numFmtId="164" formatCode="_-* #,##0\ _€_-;\-* #,##0\ _€_-;_-* &quot;-&quot;??\ _€_-;_-@_-"/>
    <numFmt numFmtId="165" formatCode="0.0%"/>
    <numFmt numFmtId="166" formatCode="[$-40C]mmm\-yy;@"/>
    <numFmt numFmtId="167" formatCode="_-* #,##0\ &quot;€&quot;_-;\-* #,##0\ &quot;€&quot;_-;_-* &quot;-&quot;??\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name val="Arial"/>
      <family val="2"/>
    </font>
    <font>
      <sz val="11"/>
      <color indexed="8"/>
      <name val="Calibri"/>
      <family val="2"/>
    </font>
    <font>
      <sz val="11"/>
      <color theme="1"/>
      <name val="Arial"/>
      <family val="2"/>
    </font>
    <font>
      <sz val="11"/>
      <name val="Calibri"/>
      <family val="2"/>
    </font>
    <font>
      <sz val="11"/>
      <color theme="1"/>
      <name val="Calibri"/>
      <family val="2"/>
    </font>
    <font>
      <sz val="10"/>
      <color theme="1"/>
      <name val="Arial"/>
      <family val="2"/>
    </font>
    <font>
      <sz val="11"/>
      <color indexed="10"/>
      <name val="Arial"/>
      <family val="2"/>
    </font>
    <font>
      <i/>
      <sz val="11"/>
      <name val="Calibri"/>
      <family val="2"/>
      <scheme val="minor"/>
    </font>
    <font>
      <b/>
      <sz val="11"/>
      <name val="Calibri"/>
      <family val="2"/>
      <scheme val="minor"/>
    </font>
    <font>
      <sz val="11"/>
      <color rgb="FFFF0000"/>
      <name val="Arial"/>
      <family val="2"/>
    </font>
    <font>
      <sz val="10"/>
      <color indexed="8"/>
      <name val="Arial"/>
      <family val="2"/>
    </font>
    <font>
      <b/>
      <sz val="11"/>
      <color theme="1"/>
      <name val="Calibri"/>
      <family val="2"/>
      <scheme val="minor"/>
    </font>
    <font>
      <sz val="11"/>
      <color rgb="FF92D050"/>
      <name val="Calibri"/>
      <family val="2"/>
      <scheme val="minor"/>
    </font>
    <font>
      <sz val="11"/>
      <name val="Calibri"/>
      <family val="2"/>
      <scheme val="minor"/>
    </font>
    <font>
      <sz val="11"/>
      <color rgb="FFFF0000"/>
      <name val="Calibri"/>
      <family val="2"/>
    </font>
    <font>
      <sz val="11"/>
      <color theme="0"/>
      <name val="Calibri"/>
      <family val="2"/>
      <scheme val="minor"/>
    </font>
    <font>
      <sz val="11"/>
      <color indexed="8"/>
      <name val="Calibri"/>
      <family val="2"/>
    </font>
    <font>
      <sz val="11"/>
      <color theme="1"/>
      <name val="Calibri"/>
      <family val="2"/>
      <scheme val="minor"/>
    </font>
    <font>
      <sz val="11"/>
      <color indexed="8"/>
      <name val="Calibri"/>
      <family val="2"/>
    </font>
  </fonts>
  <fills count="7">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s>
  <borders count="4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thin">
        <color auto="1"/>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64"/>
      </top>
      <bottom style="thin">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auto="1"/>
      </left>
      <right style="thin">
        <color auto="1"/>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14" fillId="0" borderId="0"/>
    <xf numFmtId="0" fontId="5" fillId="0" borderId="0" applyBorder="0" applyProtection="0"/>
  </cellStyleXfs>
  <cellXfs count="505">
    <xf numFmtId="0" fontId="0" fillId="0" borderId="0" xfId="0"/>
    <xf numFmtId="164" fontId="0" fillId="0" borderId="0" xfId="0" applyNumberFormat="1"/>
    <xf numFmtId="164" fontId="0" fillId="0" borderId="0" xfId="0" pivotButton="1" applyNumberFormat="1"/>
    <xf numFmtId="164" fontId="0" fillId="0" borderId="0" xfId="0" applyNumberFormat="1" applyAlignment="1">
      <alignment horizontal="left"/>
    </xf>
    <xf numFmtId="164" fontId="0" fillId="0" borderId="0" xfId="1" applyNumberFormat="1" applyFont="1" applyAlignment="1">
      <alignment horizontal="center" vertical="center" wrapText="1"/>
    </xf>
    <xf numFmtId="0" fontId="0" fillId="0" borderId="0" xfId="0" applyAlignment="1">
      <alignment vertical="top" wrapText="1"/>
    </xf>
    <xf numFmtId="164" fontId="0" fillId="0" borderId="0" xfId="1" applyNumberFormat="1" applyFont="1" applyAlignment="1">
      <alignment vertical="top" wrapText="1"/>
    </xf>
    <xf numFmtId="164" fontId="0" fillId="0" borderId="0" xfId="1" applyNumberFormat="1" applyFont="1" applyAlignment="1">
      <alignment horizontal="center" vertical="top" wrapText="1"/>
    </xf>
    <xf numFmtId="14" fontId="0" fillId="0" borderId="0" xfId="0" applyNumberFormat="1" applyAlignment="1" applyProtection="1">
      <alignment vertical="top" wrapText="1"/>
    </xf>
    <xf numFmtId="0" fontId="0" fillId="0" borderId="0" xfId="0" applyAlignment="1" applyProtection="1">
      <alignment vertical="top" wrapText="1"/>
    </xf>
    <xf numFmtId="0" fontId="0" fillId="0" borderId="0" xfId="0" applyAlignment="1">
      <alignment horizontal="center" vertical="top" wrapText="1"/>
    </xf>
    <xf numFmtId="0" fontId="0" fillId="0" borderId="0" xfId="0" applyAlignment="1">
      <alignment horizontal="center" vertical="center" wrapText="1"/>
    </xf>
    <xf numFmtId="0" fontId="0" fillId="4" borderId="0" xfId="0" applyFill="1" applyAlignment="1">
      <alignment horizontal="center" vertical="center" wrapText="1"/>
    </xf>
    <xf numFmtId="164" fontId="2" fillId="0" borderId="0" xfId="1" applyNumberFormat="1" applyFont="1" applyAlignment="1">
      <alignment horizontal="center" vertical="top" wrapText="1"/>
    </xf>
    <xf numFmtId="0" fontId="2" fillId="0" borderId="0" xfId="0" applyFont="1" applyAlignment="1">
      <alignment vertical="top" wrapText="1"/>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wrapText="1"/>
      <protection locked="0"/>
    </xf>
    <xf numFmtId="0" fontId="3" fillId="5" borderId="0" xfId="0" applyFont="1" applyFill="1" applyBorder="1" applyAlignment="1" applyProtection="1">
      <alignment horizontal="center" wrapText="1"/>
      <protection locked="0"/>
    </xf>
    <xf numFmtId="0" fontId="3" fillId="6" borderId="2" xfId="0" applyFont="1" applyFill="1" applyBorder="1" applyAlignment="1" applyProtection="1">
      <alignment horizontal="center" wrapText="1"/>
      <protection locked="0"/>
    </xf>
    <xf numFmtId="0" fontId="3" fillId="0" borderId="2" xfId="0" applyFont="1" applyFill="1" applyBorder="1" applyAlignment="1" applyProtection="1">
      <alignment horizontal="left"/>
      <protection locked="0"/>
    </xf>
    <xf numFmtId="0" fontId="3" fillId="0" borderId="2" xfId="0" applyFont="1" applyFill="1" applyBorder="1" applyAlignment="1" applyProtection="1">
      <alignment horizontal="center"/>
      <protection locked="0"/>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2" xfId="1" applyNumberFormat="1" applyFont="1" applyFill="1" applyBorder="1" applyAlignment="1">
      <alignment horizontal="center" vertical="center" wrapText="1"/>
    </xf>
    <xf numFmtId="9" fontId="3" fillId="0" borderId="2" xfId="2"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1" fontId="4" fillId="0" borderId="2" xfId="0" applyNumberFormat="1" applyFont="1" applyFill="1" applyBorder="1" applyAlignment="1" applyProtection="1">
      <alignment horizontal="center" vertical="center" wrapText="1"/>
      <protection locked="0"/>
    </xf>
    <xf numFmtId="3" fontId="4" fillId="0" borderId="2" xfId="0" applyNumberFormat="1" applyFont="1" applyFill="1" applyBorder="1" applyAlignment="1" applyProtection="1">
      <alignment horizontal="center" vertical="center" wrapText="1"/>
      <protection locked="0"/>
    </xf>
    <xf numFmtId="165" fontId="0" fillId="0" borderId="2" xfId="2" applyNumberFormat="1" applyFont="1" applyFill="1" applyBorder="1" applyAlignment="1" applyProtection="1">
      <alignment horizontal="center" vertical="center" wrapText="1"/>
      <protection locked="0"/>
    </xf>
    <xf numFmtId="17" fontId="3" fillId="0" borderId="2" xfId="0" applyNumberFormat="1" applyFont="1" applyFill="1" applyBorder="1" applyAlignment="1">
      <alignment horizontal="center" vertical="center" wrapText="1"/>
    </xf>
    <xf numFmtId="0" fontId="3" fillId="0" borderId="0" xfId="0" applyFont="1" applyFill="1" applyBorder="1" applyProtection="1">
      <protection locked="0"/>
    </xf>
    <xf numFmtId="0" fontId="3" fillId="5" borderId="0" xfId="0" applyFont="1" applyFill="1" applyBorder="1" applyProtection="1">
      <protection locked="0"/>
    </xf>
    <xf numFmtId="0" fontId="3" fillId="0" borderId="2" xfId="0" applyFont="1" applyFill="1" applyBorder="1" applyProtection="1">
      <protection locked="0"/>
    </xf>
    <xf numFmtId="0" fontId="0" fillId="0" borderId="2" xfId="0" applyFont="1" applyFill="1" applyBorder="1" applyAlignment="1" applyProtection="1">
      <alignment horizontal="center"/>
      <protection locked="0"/>
    </xf>
    <xf numFmtId="0" fontId="0" fillId="0" borderId="2" xfId="0" applyFont="1" applyFill="1" applyBorder="1" applyAlignment="1" applyProtection="1">
      <alignment horizontal="center" vertical="center" wrapText="1"/>
      <protection locked="0"/>
    </xf>
    <xf numFmtId="9" fontId="0" fillId="0" borderId="2" xfId="2" applyFont="1" applyFill="1" applyBorder="1" applyAlignment="1" applyProtection="1">
      <alignment horizontal="center" vertical="center" wrapText="1"/>
      <protection locked="0"/>
    </xf>
    <xf numFmtId="3" fontId="0" fillId="0" borderId="2" xfId="0" applyNumberFormat="1" applyFont="1" applyFill="1" applyBorder="1" applyAlignment="1" applyProtection="1">
      <alignment horizontal="center" vertical="center" wrapText="1"/>
      <protection locked="0"/>
    </xf>
    <xf numFmtId="9" fontId="4" fillId="0" borderId="2" xfId="3" applyFont="1" applyFill="1" applyBorder="1" applyAlignment="1" applyProtection="1">
      <alignment horizontal="center" vertical="center" wrapText="1"/>
      <protection locked="0"/>
    </xf>
    <xf numFmtId="165" fontId="0" fillId="0" borderId="3" xfId="2" applyNumberFormat="1" applyFont="1" applyFill="1" applyBorder="1" applyAlignment="1" applyProtection="1">
      <alignment horizontal="center" vertical="center" wrapText="1"/>
      <protection locked="0"/>
    </xf>
    <xf numFmtId="0" fontId="3" fillId="0" borderId="4" xfId="0" applyFont="1" applyFill="1" applyBorder="1" applyProtection="1">
      <protection locked="0"/>
    </xf>
    <xf numFmtId="0" fontId="3" fillId="0" borderId="5" xfId="0" applyFont="1" applyFill="1" applyBorder="1" applyProtection="1">
      <protection locked="0"/>
    </xf>
    <xf numFmtId="0" fontId="6"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3" fontId="4" fillId="0" borderId="2" xfId="4" applyNumberFormat="1" applyFont="1" applyFill="1" applyBorder="1" applyAlignment="1" applyProtection="1">
      <alignment horizontal="center" vertical="center" wrapText="1"/>
      <protection locked="0"/>
    </xf>
    <xf numFmtId="3" fontId="4" fillId="0" borderId="2" xfId="0" applyNumberFormat="1" applyFont="1" applyFill="1" applyBorder="1" applyAlignment="1" applyProtection="1">
      <alignment horizontal="center" vertical="center" wrapText="1"/>
    </xf>
    <xf numFmtId="1" fontId="4" fillId="0" borderId="2" xfId="3" applyNumberFormat="1" applyFont="1" applyFill="1" applyBorder="1" applyAlignment="1" applyProtection="1">
      <alignment horizontal="center" vertical="center" wrapText="1"/>
      <protection locked="0"/>
    </xf>
    <xf numFmtId="166" fontId="4" fillId="0" borderId="2" xfId="0" applyNumberFormat="1" applyFont="1" applyFill="1" applyBorder="1" applyAlignment="1" applyProtection="1">
      <alignment horizontal="center" vertical="center" wrapText="1"/>
      <protection locked="0"/>
    </xf>
    <xf numFmtId="3" fontId="3" fillId="0" borderId="2" xfId="1" applyNumberFormat="1" applyFon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protection locked="0"/>
    </xf>
    <xf numFmtId="3" fontId="3" fillId="0" borderId="2" xfId="0" applyNumberFormat="1" applyFont="1" applyFill="1" applyBorder="1" applyAlignment="1" applyProtection="1">
      <alignment horizontal="center" vertical="center" wrapText="1"/>
      <protection locked="0"/>
    </xf>
    <xf numFmtId="1" fontId="3" fillId="0" borderId="2" xfId="0" applyNumberFormat="1" applyFont="1" applyFill="1" applyBorder="1" applyAlignment="1" applyProtection="1">
      <alignment horizontal="center" vertical="center" wrapText="1"/>
      <protection locked="0"/>
    </xf>
    <xf numFmtId="1" fontId="3" fillId="0" borderId="2" xfId="2" applyNumberFormat="1" applyFont="1" applyFill="1" applyBorder="1" applyAlignment="1" applyProtection="1">
      <alignment horizontal="center" vertical="center" wrapText="1"/>
      <protection locked="0"/>
    </xf>
    <xf numFmtId="166" fontId="3"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0" fillId="0" borderId="2" xfId="0" applyFont="1" applyFill="1" applyBorder="1" applyAlignment="1">
      <alignment horizontal="center"/>
    </xf>
    <xf numFmtId="0" fontId="3" fillId="0" borderId="1" xfId="0" applyFont="1" applyFill="1" applyBorder="1" applyAlignment="1" applyProtection="1">
      <alignment horizontal="center" vertical="center" wrapText="1"/>
      <protection locked="0"/>
    </xf>
    <xf numFmtId="165" fontId="3" fillId="0" borderId="2" xfId="2" applyNumberFormat="1" applyFont="1" applyFill="1" applyBorder="1" applyAlignment="1" applyProtection="1">
      <alignment horizontal="center" vertical="center" wrapText="1"/>
      <protection locked="0"/>
    </xf>
    <xf numFmtId="3" fontId="0" fillId="0" borderId="2" xfId="0" applyNumberFormat="1" applyBorder="1"/>
    <xf numFmtId="0" fontId="0" fillId="0" borderId="2" xfId="0" applyBorder="1"/>
    <xf numFmtId="9" fontId="0" fillId="0" borderId="2" xfId="0" applyNumberFormat="1" applyBorder="1"/>
    <xf numFmtId="0" fontId="3" fillId="0" borderId="2" xfId="0" applyFont="1" applyFill="1" applyBorder="1" applyAlignment="1" applyProtection="1">
      <alignment horizontal="left" wrapText="1"/>
      <protection locked="0"/>
    </xf>
    <xf numFmtId="0" fontId="3" fillId="0" borderId="2" xfId="0" applyFont="1" applyFill="1" applyBorder="1" applyAlignment="1" applyProtection="1">
      <alignment horizontal="center" wrapText="1"/>
      <protection locked="0"/>
    </xf>
    <xf numFmtId="0" fontId="2" fillId="0" borderId="2" xfId="0"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3" fontId="3" fillId="0" borderId="2" xfId="0" applyNumberFormat="1" applyFont="1" applyFill="1" applyBorder="1" applyAlignment="1" applyProtection="1">
      <alignment horizontal="center" vertical="center" wrapText="1"/>
    </xf>
    <xf numFmtId="9" fontId="3" fillId="0" borderId="2" xfId="2" applyFont="1" applyFill="1" applyBorder="1" applyAlignment="1" applyProtection="1">
      <alignment horizontal="center" vertical="center"/>
      <protection locked="0"/>
    </xf>
    <xf numFmtId="1" fontId="3" fillId="0" borderId="2" xfId="2" applyNumberFormat="1" applyFont="1" applyFill="1" applyBorder="1" applyAlignment="1" applyProtection="1">
      <alignment horizontal="center" vertical="center"/>
      <protection locked="0"/>
    </xf>
    <xf numFmtId="166" fontId="3" fillId="0" borderId="2"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3" fontId="3" fillId="0" borderId="2" xfId="0" applyNumberFormat="1" applyFont="1" applyFill="1" applyBorder="1" applyProtection="1">
      <protection locked="0"/>
    </xf>
    <xf numFmtId="9" fontId="3" fillId="0" borderId="2" xfId="2" applyFont="1" applyFill="1" applyBorder="1" applyProtection="1">
      <protection locked="0"/>
    </xf>
    <xf numFmtId="1" fontId="3" fillId="0" borderId="2" xfId="0" applyNumberFormat="1" applyFont="1" applyFill="1" applyBorder="1" applyProtection="1">
      <protection locked="0"/>
    </xf>
    <xf numFmtId="9" fontId="3" fillId="0" borderId="2" xfId="0" applyNumberFormat="1" applyFont="1" applyFill="1" applyBorder="1" applyProtection="1">
      <protection locked="0"/>
    </xf>
    <xf numFmtId="17" fontId="3" fillId="0" borderId="2" xfId="0" applyNumberFormat="1" applyFont="1" applyFill="1" applyBorder="1" applyProtection="1">
      <protection locked="0"/>
    </xf>
    <xf numFmtId="0" fontId="0" fillId="0" borderId="2" xfId="0" applyFont="1" applyFill="1" applyBorder="1" applyAlignment="1" applyProtection="1">
      <alignment horizontal="left" vertical="center"/>
      <protection locked="0"/>
    </xf>
    <xf numFmtId="0" fontId="0" fillId="0" borderId="2" xfId="0" applyFont="1" applyFill="1" applyBorder="1" applyAlignment="1" applyProtection="1">
      <alignment horizontal="center" vertical="center"/>
      <protection locked="0"/>
    </xf>
    <xf numFmtId="9" fontId="6" fillId="0" borderId="2" xfId="3" applyFont="1" applyFill="1" applyBorder="1" applyAlignment="1" applyProtection="1">
      <alignment horizontal="center" vertical="center" wrapText="1"/>
      <protection locked="0"/>
    </xf>
    <xf numFmtId="3" fontId="6" fillId="0" borderId="2" xfId="0" applyNumberFormat="1" applyFont="1" applyFill="1" applyBorder="1" applyAlignment="1" applyProtection="1">
      <alignment horizontal="center" vertical="center" wrapText="1"/>
    </xf>
    <xf numFmtId="3" fontId="6" fillId="0" borderId="2" xfId="0" applyNumberFormat="1" applyFont="1" applyFill="1" applyBorder="1" applyAlignment="1" applyProtection="1">
      <alignment horizontal="center" vertical="center" wrapText="1"/>
      <protection locked="0"/>
    </xf>
    <xf numFmtId="1" fontId="6" fillId="0" borderId="2" xfId="0" applyNumberFormat="1" applyFont="1" applyFill="1" applyBorder="1" applyAlignment="1" applyProtection="1">
      <alignment horizontal="center" vertical="center" wrapText="1"/>
      <protection locked="0"/>
    </xf>
    <xf numFmtId="1" fontId="6" fillId="0" borderId="2" xfId="3" applyNumberFormat="1" applyFont="1" applyFill="1" applyBorder="1" applyAlignment="1" applyProtection="1">
      <alignment horizontal="center" vertical="center" wrapText="1"/>
      <protection locked="0"/>
    </xf>
    <xf numFmtId="166" fontId="6"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protection locked="0"/>
    </xf>
    <xf numFmtId="1" fontId="3" fillId="0" borderId="2" xfId="0" applyNumberFormat="1" applyFont="1" applyFill="1" applyBorder="1" applyAlignment="1">
      <alignment horizontal="center" vertical="center" wrapText="1"/>
    </xf>
    <xf numFmtId="49" fontId="3" fillId="0" borderId="2" xfId="0" applyNumberFormat="1" applyFont="1" applyFill="1" applyBorder="1" applyAlignment="1" applyProtection="1">
      <alignment horizontal="left" vertical="center" wrapText="1"/>
      <protection locked="0"/>
    </xf>
    <xf numFmtId="1" fontId="3" fillId="0" borderId="2" xfId="0" applyNumberFormat="1" applyFont="1" applyFill="1" applyBorder="1" applyAlignment="1" applyProtection="1">
      <alignment horizontal="left" vertical="center" wrapText="1"/>
      <protection locked="0"/>
    </xf>
    <xf numFmtId="3" fontId="3" fillId="0" borderId="2" xfId="0" applyNumberFormat="1" applyFont="1" applyFill="1" applyBorder="1" applyAlignment="1" applyProtection="1">
      <alignment horizontal="left" vertical="center" wrapText="1"/>
      <protection locked="0"/>
    </xf>
    <xf numFmtId="0" fontId="3" fillId="0" borderId="2" xfId="0" applyFont="1" applyFill="1" applyBorder="1" applyAlignment="1">
      <alignment horizontal="center" vertical="center"/>
    </xf>
    <xf numFmtId="0" fontId="3" fillId="0" borderId="2" xfId="0" applyFont="1" applyFill="1" applyBorder="1" applyAlignment="1" applyProtection="1">
      <alignment wrapText="1"/>
      <protection locked="0"/>
    </xf>
    <xf numFmtId="0" fontId="8" fillId="0" borderId="2" xfId="0" applyFont="1" applyFill="1" applyBorder="1" applyAlignment="1" applyProtection="1">
      <alignment horizontal="left"/>
      <protection locked="0"/>
    </xf>
    <xf numFmtId="0" fontId="8" fillId="0" borderId="2" xfId="0" applyFont="1" applyFill="1" applyBorder="1" applyAlignment="1" applyProtection="1">
      <alignment horizontal="center"/>
      <protection locked="0"/>
    </xf>
    <xf numFmtId="0" fontId="8" fillId="0" borderId="2"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Fill="1" applyBorder="1" applyAlignment="1" applyProtection="1">
      <alignment horizontal="center" vertical="center" wrapText="1"/>
      <protection locked="0"/>
    </xf>
    <xf numFmtId="9" fontId="9" fillId="0" borderId="2" xfId="3" applyFont="1" applyFill="1" applyBorder="1" applyAlignment="1" applyProtection="1">
      <alignment horizontal="center" vertical="center" wrapText="1"/>
      <protection locked="0"/>
    </xf>
    <xf numFmtId="3" fontId="9" fillId="0" borderId="2" xfId="0" applyNumberFormat="1" applyFont="1" applyFill="1" applyBorder="1" applyAlignment="1" applyProtection="1">
      <alignment horizontal="center" vertical="center" wrapText="1"/>
      <protection locked="0"/>
    </xf>
    <xf numFmtId="3" fontId="9" fillId="0" borderId="2" xfId="0" applyNumberFormat="1" applyFont="1" applyBorder="1" applyAlignment="1" applyProtection="1">
      <alignment horizontal="center" vertical="center" wrapText="1"/>
      <protection locked="0"/>
    </xf>
    <xf numFmtId="9" fontId="9" fillId="0" borderId="2" xfId="3" applyFont="1" applyBorder="1" applyAlignment="1" applyProtection="1">
      <alignment horizontal="center" vertical="center" wrapText="1"/>
      <protection locked="0"/>
    </xf>
    <xf numFmtId="1" fontId="9" fillId="0" borderId="2" xfId="0" applyNumberFormat="1" applyFont="1" applyBorder="1" applyAlignment="1" applyProtection="1">
      <alignment horizontal="center" vertical="center" wrapText="1"/>
      <protection locked="0"/>
    </xf>
    <xf numFmtId="3" fontId="3" fillId="0" borderId="2" xfId="0" applyNumberFormat="1" applyFont="1" applyFill="1" applyBorder="1" applyAlignment="1" applyProtection="1">
      <alignment horizontal="center" vertical="center"/>
      <protection locked="0"/>
    </xf>
    <xf numFmtId="3" fontId="3" fillId="0" borderId="2" xfId="2" applyNumberFormat="1" applyFont="1" applyFill="1" applyBorder="1" applyAlignment="1" applyProtection="1">
      <alignment horizontal="center" vertical="center"/>
      <protection locked="0"/>
    </xf>
    <xf numFmtId="164" fontId="3" fillId="0" borderId="2" xfId="0" applyNumberFormat="1" applyFont="1" applyFill="1" applyBorder="1" applyAlignment="1" applyProtection="1">
      <alignment horizontal="left" vertical="center" wrapText="1"/>
      <protection locked="0"/>
    </xf>
    <xf numFmtId="0" fontId="8" fillId="0" borderId="2" xfId="0" applyFont="1" applyFill="1" applyBorder="1" applyAlignment="1">
      <alignment vertical="center" wrapText="1"/>
    </xf>
    <xf numFmtId="1" fontId="0" fillId="0" borderId="2" xfId="0" applyNumberFormat="1" applyBorder="1"/>
    <xf numFmtId="3"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3" fontId="7" fillId="0" borderId="2" xfId="1" applyNumberFormat="1" applyFont="1" applyFill="1" applyBorder="1" applyAlignment="1" applyProtection="1">
      <alignment horizontal="center" vertical="center" wrapText="1"/>
      <protection locked="0"/>
    </xf>
    <xf numFmtId="9" fontId="7" fillId="0" borderId="2" xfId="2" applyFont="1" applyFill="1" applyBorder="1" applyAlignment="1" applyProtection="1">
      <alignment horizontal="center" vertical="center" wrapText="1"/>
      <protection locked="0"/>
    </xf>
    <xf numFmtId="3" fontId="7" fillId="0" borderId="2" xfId="0" applyNumberFormat="1" applyFont="1" applyFill="1" applyBorder="1" applyAlignment="1" applyProtection="1">
      <alignment horizontal="center" vertical="center" wrapText="1"/>
    </xf>
    <xf numFmtId="164" fontId="3" fillId="0" borderId="2" xfId="1" applyNumberFormat="1" applyFont="1" applyFill="1" applyBorder="1" applyAlignment="1" applyProtection="1">
      <alignment horizontal="center" vertical="center" wrapText="1"/>
      <protection locked="0"/>
    </xf>
    <xf numFmtId="3" fontId="3" fillId="0" borderId="2" xfId="2"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1" fontId="7" fillId="0" borderId="2" xfId="0" applyNumberFormat="1" applyFont="1" applyFill="1" applyBorder="1" applyAlignment="1" applyProtection="1">
      <alignment horizontal="center" vertical="center" wrapText="1"/>
      <protection locked="0"/>
    </xf>
    <xf numFmtId="166"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lignment horizontal="left"/>
    </xf>
    <xf numFmtId="0" fontId="0" fillId="0" borderId="0" xfId="0" applyFont="1" applyFill="1" applyBorder="1" applyProtection="1">
      <protection locked="0"/>
    </xf>
    <xf numFmtId="0" fontId="0" fillId="5" borderId="0" xfId="0" applyFont="1" applyFill="1" applyBorder="1" applyProtection="1">
      <protection locked="0"/>
    </xf>
    <xf numFmtId="0" fontId="0" fillId="0" borderId="2" xfId="0" applyFont="1" applyFill="1" applyBorder="1" applyProtection="1">
      <protection locked="0"/>
    </xf>
    <xf numFmtId="0" fontId="3" fillId="0" borderId="2" xfId="0" applyFont="1" applyFill="1" applyBorder="1" applyAlignment="1">
      <alignment wrapText="1"/>
    </xf>
    <xf numFmtId="0" fontId="3" fillId="0" borderId="2" xfId="0" applyFont="1" applyFill="1" applyBorder="1" applyAlignment="1">
      <alignment horizontal="center"/>
    </xf>
    <xf numFmtId="0" fontId="3" fillId="0" borderId="2" xfId="0" applyFont="1" applyFill="1" applyBorder="1"/>
    <xf numFmtId="9" fontId="3" fillId="0" borderId="2" xfId="0" applyNumberFormat="1" applyFont="1" applyFill="1" applyBorder="1"/>
    <xf numFmtId="2" fontId="3" fillId="0" borderId="2" xfId="0" applyNumberFormat="1" applyFont="1" applyFill="1" applyBorder="1"/>
    <xf numFmtId="1" fontId="3" fillId="0" borderId="2" xfId="0" applyNumberFormat="1" applyFont="1" applyFill="1" applyBorder="1"/>
    <xf numFmtId="164" fontId="0" fillId="0" borderId="2" xfId="1" applyNumberFormat="1" applyFont="1" applyBorder="1"/>
    <xf numFmtId="9" fontId="4" fillId="0" borderId="2" xfId="2" applyFont="1" applyFill="1" applyBorder="1" applyAlignment="1" applyProtection="1">
      <alignment horizontal="center" vertical="center" wrapText="1"/>
      <protection locked="0"/>
    </xf>
    <xf numFmtId="9" fontId="0" fillId="0" borderId="2" xfId="2" applyFont="1" applyBorder="1"/>
    <xf numFmtId="3" fontId="2" fillId="0" borderId="2" xfId="1" applyNumberFormat="1" applyFont="1" applyFill="1" applyBorder="1" applyAlignment="1" applyProtection="1">
      <alignment horizontal="center" vertical="center" wrapText="1"/>
      <protection locked="0"/>
    </xf>
    <xf numFmtId="17" fontId="3" fillId="0" borderId="2" xfId="0" applyNumberFormat="1" applyFont="1" applyFill="1" applyBorder="1" applyAlignment="1" applyProtection="1">
      <alignment horizontal="center" vertical="center"/>
      <protection locked="0"/>
    </xf>
    <xf numFmtId="11" fontId="12" fillId="0" borderId="2" xfId="0" applyNumberFormat="1" applyFont="1" applyFill="1" applyBorder="1" applyAlignment="1" applyProtection="1">
      <alignment horizontal="center"/>
      <protection locked="0"/>
    </xf>
    <xf numFmtId="9" fontId="2" fillId="0" borderId="2" xfId="2"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protection locked="0"/>
    </xf>
    <xf numFmtId="0" fontId="3" fillId="0" borderId="3" xfId="0" applyFont="1" applyFill="1" applyBorder="1" applyAlignment="1" applyProtection="1">
      <alignment horizontal="center"/>
      <protection locked="0"/>
    </xf>
    <xf numFmtId="0" fontId="3" fillId="0" borderId="3" xfId="0"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9" fontId="3" fillId="0" borderId="3" xfId="2" applyFont="1" applyFill="1" applyBorder="1" applyAlignment="1">
      <alignment horizontal="center" vertical="center" wrapText="1"/>
    </xf>
    <xf numFmtId="3" fontId="3" fillId="0" borderId="3" xfId="0" applyNumberFormat="1" applyFont="1" applyFill="1" applyBorder="1" applyAlignment="1" applyProtection="1">
      <alignment horizontal="center" vertical="center" wrapText="1"/>
      <protection locked="0"/>
    </xf>
    <xf numFmtId="9"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 fontId="3" fillId="0" borderId="3" xfId="0" applyNumberFormat="1" applyFont="1" applyFill="1" applyBorder="1" applyAlignment="1" applyProtection="1">
      <alignment horizontal="center" vertical="center" wrapText="1"/>
      <protection locked="0"/>
    </xf>
    <xf numFmtId="17" fontId="3" fillId="0" borderId="3"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wrapText="1"/>
      <protection locked="0"/>
    </xf>
    <xf numFmtId="0" fontId="3" fillId="0" borderId="5" xfId="0" applyFont="1" applyFill="1" applyBorder="1" applyAlignment="1" applyProtection="1">
      <alignment horizontal="left" wrapText="1"/>
      <protection locked="0"/>
    </xf>
    <xf numFmtId="0" fontId="3" fillId="0" borderId="5" xfId="0" applyFont="1" applyFill="1" applyBorder="1" applyAlignment="1" applyProtection="1">
      <alignment horizontal="center" wrapText="1"/>
      <protection locked="0"/>
    </xf>
    <xf numFmtId="0" fontId="6"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3" fontId="4" fillId="0" borderId="5" xfId="4" applyNumberFormat="1" applyFont="1" applyFill="1" applyBorder="1" applyAlignment="1" applyProtection="1">
      <alignment horizontal="center" vertical="center" wrapText="1"/>
      <protection locked="0"/>
    </xf>
    <xf numFmtId="9" fontId="4" fillId="0" borderId="5" xfId="3" applyFont="1" applyFill="1" applyBorder="1" applyAlignment="1" applyProtection="1">
      <alignment horizontal="center" vertical="center" wrapText="1"/>
      <protection locked="0"/>
    </xf>
    <xf numFmtId="3" fontId="3" fillId="0" borderId="5" xfId="0" applyNumberFormat="1" applyFont="1" applyFill="1" applyBorder="1" applyAlignment="1" applyProtection="1">
      <alignment horizontal="center" vertical="center" wrapText="1"/>
      <protection locked="0"/>
    </xf>
    <xf numFmtId="3" fontId="4" fillId="0" borderId="5" xfId="0" applyNumberFormat="1" applyFont="1" applyFill="1" applyBorder="1" applyAlignment="1" applyProtection="1">
      <alignment horizontal="center" vertical="center" wrapText="1"/>
      <protection locked="0"/>
    </xf>
    <xf numFmtId="1" fontId="3" fillId="0" borderId="5" xfId="0" applyNumberFormat="1" applyFont="1" applyFill="1" applyBorder="1" applyAlignment="1" applyProtection="1">
      <alignment horizontal="center" vertical="center" wrapText="1"/>
      <protection locked="0"/>
    </xf>
    <xf numFmtId="1" fontId="4" fillId="0" borderId="5" xfId="3" applyNumberFormat="1" applyFont="1" applyFill="1" applyBorder="1" applyAlignment="1" applyProtection="1">
      <alignment horizontal="center" vertical="center" wrapText="1"/>
      <protection locked="0"/>
    </xf>
    <xf numFmtId="166" fontId="4" fillId="0" borderId="5" xfId="0" applyNumberFormat="1" applyFont="1" applyFill="1" applyBorder="1" applyAlignment="1" applyProtection="1">
      <alignment horizontal="center" vertical="center" wrapText="1"/>
      <protection locked="0"/>
    </xf>
    <xf numFmtId="0" fontId="0" fillId="0" borderId="0" xfId="0" applyFill="1" applyBorder="1"/>
    <xf numFmtId="0" fontId="0" fillId="5" borderId="0" xfId="0" applyFill="1" applyBorder="1"/>
    <xf numFmtId="0" fontId="0" fillId="0" borderId="2" xfId="0" applyFont="1" applyFill="1" applyBorder="1" applyAlignment="1">
      <alignment horizontal="center" wrapText="1"/>
    </xf>
    <xf numFmtId="0" fontId="3" fillId="0" borderId="0" xfId="0" applyFont="1" applyFill="1" applyBorder="1" applyAlignment="1" applyProtection="1">
      <alignment horizontal="left" vertical="center" wrapText="1"/>
      <protection locked="0"/>
    </xf>
    <xf numFmtId="3" fontId="3" fillId="0" borderId="0" xfId="1" applyNumberFormat="1" applyFont="1" applyFill="1" applyBorder="1" applyAlignment="1" applyProtection="1">
      <alignment horizontal="center" vertical="center" wrapText="1"/>
      <protection locked="0"/>
    </xf>
    <xf numFmtId="9" fontId="3" fillId="0" borderId="0" xfId="2"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 fontId="3" fillId="0" borderId="0" xfId="2" applyNumberFormat="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4" fontId="3" fillId="0" borderId="0" xfId="0" applyNumberFormat="1" applyFont="1" applyFill="1" applyBorder="1" applyAlignment="1">
      <alignment horizontal="center" vertical="center" wrapText="1"/>
    </xf>
    <xf numFmtId="0" fontId="10" fillId="0" borderId="0" xfId="0" applyFont="1" applyFill="1" applyBorder="1" applyAlignment="1" applyProtection="1">
      <alignment horizontal="left" vertical="center" wrapText="1"/>
      <protection locked="0"/>
    </xf>
    <xf numFmtId="0" fontId="0" fillId="3" borderId="0" xfId="0" applyFill="1"/>
    <xf numFmtId="0" fontId="0" fillId="3" borderId="0" xfId="0" applyFill="1" applyAlignment="1">
      <alignment horizontal="center"/>
    </xf>
    <xf numFmtId="3" fontId="0" fillId="3" borderId="0" xfId="0" applyNumberFormat="1" applyFill="1"/>
    <xf numFmtId="0" fontId="0" fillId="0" borderId="0" xfId="0" applyAlignment="1">
      <alignment horizontal="left"/>
    </xf>
    <xf numFmtId="0" fontId="0" fillId="0" borderId="0" xfId="0" applyAlignment="1">
      <alignment horizontal="center"/>
    </xf>
    <xf numFmtId="0" fontId="0" fillId="0" borderId="0" xfId="0" applyFont="1" applyAlignment="1">
      <alignment horizontal="center"/>
    </xf>
    <xf numFmtId="164" fontId="0" fillId="0" borderId="0" xfId="0" applyNumberFormat="1" applyBorder="1"/>
    <xf numFmtId="9" fontId="0" fillId="0" borderId="0" xfId="2" applyFont="1" applyBorder="1"/>
    <xf numFmtId="3" fontId="4" fillId="0" borderId="0" xfId="0" applyNumberFormat="1" applyFont="1" applyFill="1" applyBorder="1" applyAlignment="1" applyProtection="1">
      <alignment horizontal="center" vertical="center" wrapText="1"/>
      <protection locked="0"/>
    </xf>
    <xf numFmtId="9" fontId="4" fillId="0" borderId="0" xfId="3" applyFont="1" applyFill="1" applyBorder="1" applyAlignment="1" applyProtection="1">
      <alignment horizontal="center" vertical="center" wrapText="1"/>
      <protection locked="0"/>
    </xf>
    <xf numFmtId="0" fontId="0" fillId="0" borderId="0" xfId="0" applyBorder="1"/>
    <xf numFmtId="3" fontId="0" fillId="0" borderId="0" xfId="0" applyNumberFormat="1" applyBorder="1"/>
    <xf numFmtId="9" fontId="0" fillId="0" borderId="0" xfId="0" applyNumberFormat="1" applyBorder="1"/>
    <xf numFmtId="3" fontId="0" fillId="0" borderId="0" xfId="0" applyNumberFormat="1"/>
    <xf numFmtId="0" fontId="3" fillId="4" borderId="1" xfId="0" applyFont="1" applyFill="1" applyBorder="1" applyAlignment="1" applyProtection="1">
      <alignment horizontal="center" vertical="center" wrapText="1"/>
      <protection locked="0"/>
    </xf>
    <xf numFmtId="3" fontId="3" fillId="0" borderId="2" xfId="0" applyNumberFormat="1" applyFont="1" applyFill="1" applyBorder="1"/>
    <xf numFmtId="3" fontId="2" fillId="0" borderId="2" xfId="0" applyNumberFormat="1" applyFont="1" applyFill="1" applyBorder="1" applyAlignment="1" applyProtection="1">
      <alignment horizontal="center" vertical="center" wrapText="1"/>
      <protection locked="0"/>
    </xf>
    <xf numFmtId="3" fontId="13" fillId="0" borderId="2" xfId="0" applyNumberFormat="1" applyFont="1" applyFill="1" applyBorder="1" applyAlignment="1" applyProtection="1">
      <alignment horizontal="center" vertical="center" wrapText="1"/>
      <protection locked="0"/>
    </xf>
    <xf numFmtId="0" fontId="5" fillId="0" borderId="0" xfId="5" applyFont="1" applyFill="1" applyBorder="1" applyAlignment="1">
      <alignment wrapText="1"/>
    </xf>
    <xf numFmtId="0" fontId="0" fillId="0" borderId="6" xfId="0" applyBorder="1" applyAlignment="1">
      <alignment vertical="top" wrapText="1"/>
    </xf>
    <xf numFmtId="3" fontId="5" fillId="0" borderId="0" xfId="5" applyNumberFormat="1" applyFont="1" applyFill="1" applyBorder="1" applyAlignment="1">
      <alignment horizontal="right" vertical="center" wrapText="1"/>
    </xf>
    <xf numFmtId="164" fontId="0" fillId="0" borderId="6" xfId="1" applyNumberFormat="1" applyFont="1" applyBorder="1" applyAlignment="1">
      <alignment horizontal="center" vertical="top" wrapText="1"/>
    </xf>
    <xf numFmtId="164" fontId="5" fillId="0" borderId="0" xfId="1" applyNumberFormat="1" applyFont="1" applyFill="1" applyBorder="1" applyAlignment="1">
      <alignment horizontal="center" vertical="top" wrapText="1"/>
    </xf>
    <xf numFmtId="14" fontId="0" fillId="0" borderId="6" xfId="0" applyNumberFormat="1" applyBorder="1" applyAlignment="1" applyProtection="1">
      <alignment vertical="top" wrapText="1"/>
    </xf>
    <xf numFmtId="164" fontId="0" fillId="0" borderId="0" xfId="1" applyNumberFormat="1" applyFont="1"/>
    <xf numFmtId="0" fontId="0" fillId="0" borderId="7" xfId="0" applyBorder="1"/>
    <xf numFmtId="0" fontId="0" fillId="0" borderId="7" xfId="0" applyBorder="1" applyAlignment="1">
      <alignment wrapText="1"/>
    </xf>
    <xf numFmtId="164" fontId="0" fillId="0" borderId="8" xfId="1" applyNumberFormat="1" applyFont="1" applyBorder="1"/>
    <xf numFmtId="164" fontId="0" fillId="0" borderId="9" xfId="1" applyNumberFormat="1" applyFont="1" applyBorder="1"/>
    <xf numFmtId="0" fontId="0" fillId="0" borderId="10" xfId="0" applyBorder="1"/>
    <xf numFmtId="0" fontId="0" fillId="0" borderId="2" xfId="0" applyBorder="1" applyAlignment="1">
      <alignment horizontal="center" vertical="top" wrapText="1"/>
    </xf>
    <xf numFmtId="0" fontId="0" fillId="0" borderId="2" xfId="0" applyBorder="1" applyAlignment="1">
      <alignment horizontal="center" vertical="center"/>
    </xf>
    <xf numFmtId="164" fontId="0" fillId="0" borderId="2" xfId="0" applyNumberFormat="1" applyBorder="1" applyAlignment="1">
      <alignment horizontal="center" vertical="center"/>
    </xf>
    <xf numFmtId="164" fontId="0" fillId="0" borderId="2" xfId="1" applyNumberFormat="1" applyFont="1" applyBorder="1" applyAlignment="1">
      <alignment horizontal="center" vertical="center"/>
    </xf>
    <xf numFmtId="0" fontId="0" fillId="0" borderId="9" xfId="0"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1" xfId="0" applyBorder="1"/>
    <xf numFmtId="164" fontId="15" fillId="0" borderId="12" xfId="0" applyNumberFormat="1" applyFont="1" applyBorder="1" applyAlignment="1">
      <alignment horizontal="center"/>
    </xf>
    <xf numFmtId="164" fontId="15" fillId="0" borderId="13" xfId="0" applyNumberFormat="1" applyFont="1" applyBorder="1" applyAlignment="1">
      <alignment horizontal="center"/>
    </xf>
    <xf numFmtId="0" fontId="15" fillId="0" borderId="14" xfId="0" applyFont="1" applyBorder="1" applyAlignment="1">
      <alignment horizontal="center"/>
    </xf>
    <xf numFmtId="164" fontId="16" fillId="0" borderId="2" xfId="1" applyNumberFormat="1" applyFont="1" applyBorder="1"/>
    <xf numFmtId="0" fontId="0" fillId="0" borderId="7" xfId="0" applyBorder="1" applyAlignment="1">
      <alignment vertical="top" wrapText="1"/>
    </xf>
    <xf numFmtId="164" fontId="0" fillId="0" borderId="0" xfId="0" applyNumberFormat="1" applyAlignment="1">
      <alignment horizontal="right"/>
    </xf>
    <xf numFmtId="0" fontId="0" fillId="0" borderId="15" xfId="0" applyBorder="1"/>
    <xf numFmtId="0" fontId="2" fillId="0" borderId="16" xfId="0" applyFont="1" applyBorder="1"/>
    <xf numFmtId="164" fontId="0" fillId="0" borderId="16" xfId="1" applyNumberFormat="1" applyFont="1" applyBorder="1"/>
    <xf numFmtId="164" fontId="16" fillId="0" borderId="16" xfId="1" applyNumberFormat="1" applyFont="1" applyBorder="1"/>
    <xf numFmtId="164" fontId="0" fillId="0" borderId="18" xfId="0" applyNumberFormat="1" applyBorder="1" applyAlignment="1">
      <alignment horizontal="right"/>
    </xf>
    <xf numFmtId="164" fontId="2" fillId="0" borderId="18" xfId="0" applyNumberFormat="1" applyFont="1" applyBorder="1" applyAlignment="1">
      <alignment horizontal="right"/>
    </xf>
    <xf numFmtId="164" fontId="2" fillId="0" borderId="19" xfId="0" applyNumberFormat="1" applyFont="1" applyBorder="1" applyAlignment="1">
      <alignment horizontal="right"/>
    </xf>
    <xf numFmtId="164" fontId="1" fillId="0" borderId="0" xfId="1" applyNumberFormat="1" applyFont="1" applyAlignment="1">
      <alignment horizontal="center" vertical="top" wrapText="1"/>
    </xf>
    <xf numFmtId="164" fontId="1" fillId="0" borderId="2" xfId="1" applyNumberFormat="1" applyFont="1" applyFill="1" applyBorder="1" applyAlignment="1">
      <alignment horizontal="center" vertical="center" wrapText="1"/>
    </xf>
    <xf numFmtId="0" fontId="5" fillId="0" borderId="20" xfId="5" applyFont="1" applyFill="1" applyBorder="1" applyAlignment="1">
      <alignment wrapText="1"/>
    </xf>
    <xf numFmtId="0" fontId="3" fillId="0" borderId="21" xfId="0" applyFont="1" applyFill="1" applyBorder="1" applyProtection="1">
      <protection locked="0"/>
    </xf>
    <xf numFmtId="3" fontId="17" fillId="0" borderId="21" xfId="0" applyNumberFormat="1" applyFont="1" applyFill="1" applyBorder="1" applyAlignment="1" applyProtection="1">
      <alignment horizontal="center" vertical="center" wrapText="1"/>
      <protection locked="0"/>
    </xf>
    <xf numFmtId="0" fontId="3" fillId="0" borderId="21" xfId="0" applyFont="1" applyFill="1" applyBorder="1" applyAlignment="1" applyProtection="1">
      <alignment horizontal="left"/>
      <protection locked="0"/>
    </xf>
    <xf numFmtId="0" fontId="3" fillId="0" borderId="21" xfId="0" applyFont="1" applyFill="1" applyBorder="1" applyAlignment="1">
      <alignment horizontal="center" vertical="center" wrapText="1"/>
    </xf>
    <xf numFmtId="3" fontId="4" fillId="0" borderId="21" xfId="0" applyNumberFormat="1" applyFont="1" applyFill="1" applyBorder="1" applyAlignment="1" applyProtection="1">
      <alignment horizontal="center" vertical="center" wrapText="1"/>
      <protection locked="0"/>
    </xf>
    <xf numFmtId="165" fontId="0" fillId="0" borderId="21" xfId="2" applyNumberFormat="1" applyFont="1" applyFill="1" applyBorder="1" applyAlignment="1" applyProtection="1">
      <alignment horizontal="center" vertical="center" wrapText="1"/>
      <protection locked="0"/>
    </xf>
    <xf numFmtId="0" fontId="3" fillId="0" borderId="24" xfId="0" applyFont="1" applyFill="1" applyBorder="1" applyAlignment="1" applyProtection="1">
      <alignment horizontal="left"/>
      <protection locked="0"/>
    </xf>
    <xf numFmtId="0" fontId="0" fillId="0" borderId="24" xfId="0" applyFont="1" applyFill="1" applyBorder="1" applyAlignment="1" applyProtection="1">
      <alignment horizontal="center" vertical="center" wrapText="1"/>
      <protection locked="0"/>
    </xf>
    <xf numFmtId="0" fontId="3" fillId="0" borderId="24" xfId="0" applyFont="1" applyFill="1" applyBorder="1" applyAlignment="1">
      <alignment horizontal="center" vertical="center" wrapText="1"/>
    </xf>
    <xf numFmtId="3" fontId="4" fillId="0" borderId="24" xfId="0" applyNumberFormat="1" applyFont="1" applyFill="1" applyBorder="1" applyAlignment="1" applyProtection="1">
      <alignment horizontal="center" vertical="center" wrapText="1"/>
      <protection locked="0"/>
    </xf>
    <xf numFmtId="3" fontId="17" fillId="0" borderId="24" xfId="0" applyNumberFormat="1" applyFont="1" applyFill="1" applyBorder="1" applyAlignment="1" applyProtection="1">
      <alignment horizontal="center" vertical="center" wrapText="1"/>
      <protection locked="0"/>
    </xf>
    <xf numFmtId="165" fontId="0" fillId="0" borderId="24" xfId="2" applyNumberFormat="1" applyFont="1" applyFill="1" applyBorder="1" applyAlignment="1" applyProtection="1">
      <alignment horizontal="center" vertical="center" wrapText="1"/>
      <protection locked="0"/>
    </xf>
    <xf numFmtId="0" fontId="3" fillId="0" borderId="24" xfId="0" applyFont="1" applyFill="1" applyBorder="1" applyProtection="1">
      <protection locked="0"/>
    </xf>
    <xf numFmtId="0" fontId="3" fillId="0" borderId="24" xfId="0" applyFont="1" applyFill="1" applyBorder="1" applyAlignment="1" applyProtection="1">
      <alignment horizontal="center" vertical="center"/>
      <protection locked="0"/>
    </xf>
    <xf numFmtId="9" fontId="3" fillId="0" borderId="24" xfId="2"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4" xfId="0" applyNumberFormat="1" applyFont="1" applyFill="1" applyBorder="1" applyAlignment="1">
      <alignment horizontal="center" vertical="center" wrapText="1"/>
    </xf>
    <xf numFmtId="9" fontId="3" fillId="0" borderId="24" xfId="0" applyNumberFormat="1" applyFont="1" applyFill="1" applyBorder="1" applyAlignment="1">
      <alignment horizontal="center" vertical="center" wrapText="1"/>
    </xf>
    <xf numFmtId="0" fontId="3" fillId="0" borderId="24" xfId="0" applyFont="1" applyFill="1" applyBorder="1" applyAlignment="1" applyProtection="1">
      <alignment horizontal="center" vertical="center" wrapText="1"/>
      <protection locked="0"/>
    </xf>
    <xf numFmtId="165" fontId="0" fillId="0" borderId="25" xfId="2" applyNumberFormat="1" applyFont="1" applyFill="1" applyBorder="1" applyAlignment="1" applyProtection="1">
      <alignment horizontal="center" vertical="center" wrapText="1"/>
      <protection locked="0"/>
    </xf>
    <xf numFmtId="17" fontId="3" fillId="0" borderId="24" xfId="0" applyNumberFormat="1" applyFont="1" applyFill="1" applyBorder="1" applyAlignment="1">
      <alignment horizontal="center" vertical="center" wrapText="1"/>
    </xf>
    <xf numFmtId="3" fontId="17" fillId="0" borderId="22" xfId="0" applyNumberFormat="1" applyFont="1" applyFill="1" applyBorder="1" applyAlignment="1" applyProtection="1">
      <alignment horizontal="center" vertical="center" wrapText="1"/>
      <protection locked="0"/>
    </xf>
    <xf numFmtId="0" fontId="3" fillId="0" borderId="22" xfId="0" applyFont="1" applyFill="1" applyBorder="1" applyAlignment="1" applyProtection="1">
      <alignment horizontal="left"/>
      <protection locked="0"/>
    </xf>
    <xf numFmtId="0" fontId="0" fillId="0" borderId="22" xfId="0" applyFont="1" applyFill="1" applyBorder="1" applyAlignment="1">
      <alignment horizontal="center" vertical="center" wrapText="1"/>
    </xf>
    <xf numFmtId="0" fontId="3" fillId="0" borderId="22" xfId="0" applyFont="1" applyFill="1" applyBorder="1" applyAlignment="1">
      <alignment horizontal="center" vertical="center" wrapText="1"/>
    </xf>
    <xf numFmtId="9" fontId="3" fillId="0" borderId="22" xfId="2" applyFont="1" applyFill="1" applyBorder="1" applyAlignment="1">
      <alignment horizontal="center" vertical="center" wrapText="1"/>
    </xf>
    <xf numFmtId="164" fontId="3" fillId="0" borderId="22" xfId="0" applyNumberFormat="1" applyFont="1" applyFill="1" applyBorder="1" applyAlignment="1">
      <alignment horizontal="center" vertical="center" wrapText="1"/>
    </xf>
    <xf numFmtId="0" fontId="3" fillId="0" borderId="22" xfId="0" applyFont="1" applyFill="1" applyBorder="1" applyAlignment="1" applyProtection="1">
      <alignment horizontal="center" vertical="center" wrapText="1"/>
      <protection locked="0"/>
    </xf>
    <xf numFmtId="1" fontId="4" fillId="0" borderId="22" xfId="0" applyNumberFormat="1" applyFont="1" applyFill="1" applyBorder="1" applyAlignment="1" applyProtection="1">
      <alignment horizontal="center" vertical="center" wrapText="1"/>
      <protection locked="0"/>
    </xf>
    <xf numFmtId="9" fontId="3" fillId="0" borderId="22" xfId="0" applyNumberFormat="1" applyFont="1" applyFill="1" applyBorder="1" applyAlignment="1">
      <alignment horizontal="center" vertical="center" wrapText="1"/>
    </xf>
    <xf numFmtId="3" fontId="4" fillId="0" borderId="22" xfId="0" applyNumberFormat="1" applyFont="1" applyFill="1" applyBorder="1" applyAlignment="1" applyProtection="1">
      <alignment horizontal="center" vertical="center" wrapText="1"/>
      <protection locked="0"/>
    </xf>
    <xf numFmtId="17" fontId="3" fillId="0" borderId="22" xfId="0" applyNumberFormat="1" applyFont="1" applyFill="1" applyBorder="1" applyAlignment="1">
      <alignment horizontal="center" vertical="center" wrapText="1"/>
    </xf>
    <xf numFmtId="0" fontId="3" fillId="0" borderId="22" xfId="0" applyFont="1" applyFill="1" applyBorder="1" applyProtection="1">
      <protection locked="0"/>
    </xf>
    <xf numFmtId="0" fontId="5" fillId="0" borderId="26" xfId="5" applyFont="1" applyFill="1" applyBorder="1" applyAlignment="1">
      <alignment wrapText="1"/>
    </xf>
    <xf numFmtId="0" fontId="0" fillId="0" borderId="0" xfId="0" applyBorder="1" applyAlignment="1">
      <alignment vertical="top" wrapText="1"/>
    </xf>
    <xf numFmtId="164" fontId="0" fillId="0" borderId="0" xfId="1" applyNumberFormat="1" applyFont="1" applyBorder="1" applyAlignment="1">
      <alignment horizontal="center" vertical="top" wrapText="1"/>
    </xf>
    <xf numFmtId="164" fontId="1" fillId="0" borderId="2" xfId="1" applyNumberFormat="1" applyFont="1" applyBorder="1" applyAlignment="1" applyProtection="1">
      <alignment horizontal="center" vertical="center" wrapText="1"/>
      <protection locked="0"/>
    </xf>
    <xf numFmtId="3" fontId="1" fillId="0" borderId="2" xfId="1" applyNumberFormat="1" applyFont="1" applyFill="1" applyBorder="1" applyAlignment="1" applyProtection="1">
      <alignment horizontal="center" vertical="center" wrapText="1"/>
      <protection locked="0"/>
    </xf>
    <xf numFmtId="3" fontId="6" fillId="0" borderId="2" xfId="4" applyNumberFormat="1" applyFont="1" applyFill="1" applyBorder="1" applyAlignment="1" applyProtection="1">
      <alignment horizontal="center" vertical="center" wrapText="1"/>
      <protection locked="0"/>
    </xf>
    <xf numFmtId="3" fontId="8" fillId="0" borderId="2" xfId="1" applyNumberFormat="1" applyFont="1" applyFill="1" applyBorder="1" applyAlignment="1" applyProtection="1">
      <alignment horizontal="center" vertical="center" wrapText="1"/>
      <protection locked="0"/>
    </xf>
    <xf numFmtId="3" fontId="9" fillId="0" borderId="2" xfId="4" applyNumberFormat="1" applyFont="1" applyFill="1" applyBorder="1" applyAlignment="1" applyProtection="1">
      <alignment horizontal="center" vertical="center" wrapText="1"/>
      <protection locked="0"/>
    </xf>
    <xf numFmtId="0" fontId="18" fillId="0" borderId="2" xfId="0" applyFont="1" applyFill="1" applyBorder="1" applyAlignment="1">
      <alignment vertical="center" wrapText="1"/>
    </xf>
    <xf numFmtId="3" fontId="0" fillId="0" borderId="22" xfId="0" applyNumberFormat="1" applyFont="1" applyFill="1" applyBorder="1" applyAlignment="1" applyProtection="1">
      <alignment horizontal="center" vertical="center" wrapText="1"/>
      <protection locked="0"/>
    </xf>
    <xf numFmtId="3" fontId="3" fillId="0" borderId="22" xfId="0" applyNumberFormat="1" applyFont="1" applyFill="1" applyBorder="1" applyAlignment="1" applyProtection="1">
      <alignment horizontal="center" vertical="center" wrapText="1"/>
      <protection locked="0"/>
    </xf>
    <xf numFmtId="0" fontId="0" fillId="0" borderId="22" xfId="0" applyBorder="1"/>
    <xf numFmtId="3" fontId="6" fillId="0" borderId="22" xfId="0" applyNumberFormat="1" applyFont="1" applyFill="1" applyBorder="1" applyAlignment="1" applyProtection="1">
      <alignment horizontal="center" vertical="center" wrapText="1"/>
      <protection locked="0"/>
    </xf>
    <xf numFmtId="3" fontId="9" fillId="0" borderId="22" xfId="0" applyNumberFormat="1" applyFont="1" applyFill="1" applyBorder="1" applyAlignment="1" applyProtection="1">
      <alignment horizontal="center" vertical="center" wrapText="1"/>
      <protection locked="0"/>
    </xf>
    <xf numFmtId="0" fontId="3" fillId="0" borderId="22" xfId="0" applyFont="1" applyFill="1" applyBorder="1" applyAlignment="1" applyProtection="1">
      <alignment horizontal="left" vertical="center" wrapText="1"/>
      <protection locked="0"/>
    </xf>
    <xf numFmtId="3" fontId="7" fillId="0" borderId="22" xfId="0" applyNumberFormat="1" applyFont="1" applyFill="1" applyBorder="1" applyAlignment="1" applyProtection="1">
      <alignment horizontal="center" vertical="center" wrapText="1"/>
      <protection locked="0"/>
    </xf>
    <xf numFmtId="0" fontId="3" fillId="0" borderId="22" xfId="0" applyFont="1" applyFill="1" applyBorder="1"/>
    <xf numFmtId="164" fontId="3" fillId="0" borderId="25" xfId="0" applyNumberFormat="1" applyFont="1" applyFill="1" applyBorder="1" applyAlignment="1">
      <alignment horizontal="center" vertical="center" wrapText="1"/>
    </xf>
    <xf numFmtId="3" fontId="3" fillId="0" borderId="22" xfId="0" applyNumberFormat="1" applyFont="1" applyFill="1" applyBorder="1" applyAlignment="1" applyProtection="1">
      <alignment horizontal="center" vertical="center" wrapText="1"/>
    </xf>
    <xf numFmtId="3" fontId="0" fillId="0" borderId="22" xfId="0" applyNumberFormat="1" applyBorder="1"/>
    <xf numFmtId="3" fontId="3" fillId="0" borderId="22" xfId="0" applyNumberFormat="1" applyFont="1" applyFill="1" applyBorder="1" applyAlignment="1" applyProtection="1">
      <alignment horizontal="left" vertical="center" wrapText="1"/>
      <protection locked="0"/>
    </xf>
    <xf numFmtId="3" fontId="3" fillId="0" borderId="22" xfId="0" applyNumberFormat="1" applyFont="1" applyFill="1" applyBorder="1" applyProtection="1">
      <protection locked="0"/>
    </xf>
    <xf numFmtId="3" fontId="3" fillId="0" borderId="22" xfId="0" applyNumberFormat="1" applyFont="1" applyFill="1" applyBorder="1"/>
    <xf numFmtId="164" fontId="3" fillId="0" borderId="27" xfId="0" applyNumberFormat="1" applyFont="1" applyFill="1" applyBorder="1" applyAlignment="1">
      <alignment horizontal="center" vertical="center" wrapText="1"/>
    </xf>
    <xf numFmtId="3" fontId="17" fillId="0" borderId="27" xfId="0" applyNumberFormat="1" applyFont="1" applyFill="1" applyBorder="1" applyAlignment="1" applyProtection="1">
      <alignment horizontal="center" vertical="center" wrapText="1"/>
      <protection locked="0"/>
    </xf>
    <xf numFmtId="3" fontId="4" fillId="0" borderId="27" xfId="0" applyNumberFormat="1" applyFont="1" applyFill="1" applyBorder="1" applyAlignment="1" applyProtection="1">
      <alignment horizontal="center" vertical="center" wrapText="1"/>
      <protection locked="0"/>
    </xf>
    <xf numFmtId="3" fontId="3" fillId="0" borderId="27" xfId="0" applyNumberFormat="1" applyFont="1" applyFill="1" applyBorder="1" applyAlignment="1" applyProtection="1">
      <alignment horizontal="center" vertical="center" wrapText="1"/>
      <protection locked="0"/>
    </xf>
    <xf numFmtId="164" fontId="3" fillId="0" borderId="0" xfId="1" applyNumberFormat="1" applyFont="1" applyFill="1" applyBorder="1" applyAlignment="1">
      <alignment horizontal="center" vertical="center" wrapText="1"/>
    </xf>
    <xf numFmtId="0" fontId="0" fillId="0" borderId="22" xfId="0" applyFont="1" applyFill="1" applyBorder="1" applyAlignment="1" applyProtection="1">
      <alignment horizontal="left"/>
      <protection locked="0"/>
    </xf>
    <xf numFmtId="0" fontId="0" fillId="0" borderId="24" xfId="0" applyFont="1" applyFill="1" applyBorder="1" applyAlignment="1" applyProtection="1">
      <alignment horizontal="center"/>
      <protection locked="0"/>
    </xf>
    <xf numFmtId="0" fontId="0" fillId="0" borderId="22" xfId="0" applyFont="1" applyFill="1" applyBorder="1" applyAlignment="1" applyProtection="1">
      <alignment horizontal="center"/>
      <protection locked="0"/>
    </xf>
    <xf numFmtId="0" fontId="0" fillId="0" borderId="26" xfId="0" applyFont="1" applyFill="1" applyBorder="1" applyAlignment="1" applyProtection="1">
      <alignment horizontal="center" vertical="center" wrapText="1"/>
      <protection locked="0"/>
    </xf>
    <xf numFmtId="0" fontId="5" fillId="0" borderId="2" xfId="5" applyFont="1" applyFill="1" applyBorder="1" applyAlignment="1">
      <alignment wrapText="1"/>
    </xf>
    <xf numFmtId="3" fontId="0" fillId="0" borderId="0" xfId="1" applyNumberFormat="1" applyFont="1" applyFill="1" applyBorder="1" applyAlignment="1" applyProtection="1">
      <alignment horizontal="center" vertical="center" wrapText="1"/>
      <protection locked="0"/>
    </xf>
    <xf numFmtId="9" fontId="0" fillId="0" borderId="22" xfId="2" applyFont="1" applyFill="1" applyBorder="1" applyAlignment="1" applyProtection="1">
      <alignment horizontal="center" vertical="center" wrapText="1"/>
      <protection locked="0"/>
    </xf>
    <xf numFmtId="3" fontId="0" fillId="0" borderId="24" xfId="0" applyNumberFormat="1" applyFont="1" applyFill="1" applyBorder="1" applyAlignment="1" applyProtection="1">
      <alignment horizontal="center" vertical="center" wrapText="1"/>
    </xf>
    <xf numFmtId="3" fontId="0" fillId="0" borderId="24" xfId="0" applyNumberFormat="1" applyFont="1" applyFill="1" applyBorder="1" applyAlignment="1" applyProtection="1">
      <alignment horizontal="center" vertical="center" wrapText="1"/>
      <protection locked="0"/>
    </xf>
    <xf numFmtId="9" fontId="4" fillId="0" borderId="22" xfId="3" applyFont="1" applyFill="1" applyBorder="1" applyAlignment="1" applyProtection="1">
      <alignment horizontal="center" vertical="center" wrapText="1"/>
      <protection locked="0"/>
    </xf>
    <xf numFmtId="165" fontId="0" fillId="0" borderId="22" xfId="2" applyNumberFormat="1" applyFont="1" applyFill="1" applyBorder="1" applyAlignment="1" applyProtection="1">
      <alignment horizontal="center" vertical="center" wrapText="1"/>
      <protection locked="0"/>
    </xf>
    <xf numFmtId="3" fontId="0" fillId="0" borderId="0" xfId="0" applyNumberFormat="1" applyFont="1" applyFill="1" applyBorder="1" applyAlignment="1" applyProtection="1">
      <alignment horizontal="center" vertical="center" wrapText="1"/>
      <protection locked="0"/>
    </xf>
    <xf numFmtId="3" fontId="17" fillId="0" borderId="2" xfId="0" applyNumberFormat="1" applyFont="1" applyFill="1" applyBorder="1" applyAlignment="1" applyProtection="1">
      <alignment horizontal="center" vertical="center" wrapText="1"/>
      <protection locked="0"/>
    </xf>
    <xf numFmtId="1" fontId="0" fillId="0" borderId="22" xfId="2" applyNumberFormat="1" applyFont="1" applyFill="1" applyBorder="1" applyAlignment="1" applyProtection="1">
      <alignment horizontal="center" vertical="center" wrapText="1"/>
      <protection locked="0"/>
    </xf>
    <xf numFmtId="166" fontId="0" fillId="0" borderId="22" xfId="0" applyNumberFormat="1"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3" fontId="0" fillId="0" borderId="27" xfId="0" applyNumberFormat="1" applyFont="1" applyFill="1" applyBorder="1" applyAlignment="1" applyProtection="1">
      <alignment horizontal="center" vertical="center" wrapText="1"/>
      <protection locked="0"/>
    </xf>
    <xf numFmtId="3" fontId="6" fillId="0" borderId="27" xfId="0" applyNumberFormat="1" applyFont="1" applyFill="1" applyBorder="1" applyAlignment="1" applyProtection="1">
      <alignment horizontal="center" vertical="center" wrapText="1"/>
      <protection locked="0"/>
    </xf>
    <xf numFmtId="3" fontId="7" fillId="0" borderId="27" xfId="0" applyNumberFormat="1" applyFont="1" applyFill="1" applyBorder="1" applyAlignment="1" applyProtection="1">
      <alignment horizontal="center" vertical="center" wrapText="1"/>
      <protection locked="0"/>
    </xf>
    <xf numFmtId="164" fontId="3" fillId="0" borderId="28" xfId="0" applyNumberFormat="1" applyFont="1" applyFill="1" applyBorder="1" applyAlignment="1">
      <alignment horizontal="center" vertical="center" wrapText="1"/>
    </xf>
    <xf numFmtId="3" fontId="3" fillId="0" borderId="27" xfId="0" applyNumberFormat="1" applyFont="1" applyFill="1" applyBorder="1" applyAlignment="1" applyProtection="1">
      <alignment horizontal="center" vertical="center" wrapText="1"/>
    </xf>
    <xf numFmtId="3" fontId="0" fillId="0" borderId="27" xfId="0" applyNumberFormat="1" applyBorder="1"/>
    <xf numFmtId="3" fontId="3" fillId="0" borderId="27" xfId="0" applyNumberFormat="1" applyFont="1" applyFill="1" applyBorder="1" applyAlignment="1" applyProtection="1">
      <alignment horizontal="left" vertical="center" wrapText="1"/>
      <protection locked="0"/>
    </xf>
    <xf numFmtId="3" fontId="9" fillId="0" borderId="27" xfId="0" applyNumberFormat="1" applyFont="1" applyFill="1" applyBorder="1" applyAlignment="1" applyProtection="1">
      <alignment horizontal="center" vertical="center" wrapText="1"/>
      <protection locked="0"/>
    </xf>
    <xf numFmtId="3" fontId="3" fillId="0" borderId="27" xfId="0" applyNumberFormat="1" applyFont="1" applyFill="1" applyBorder="1" applyProtection="1">
      <protection locked="0"/>
    </xf>
    <xf numFmtId="3" fontId="3" fillId="0" borderId="27" xfId="0" applyNumberFormat="1" applyFont="1" applyFill="1" applyBorder="1"/>
    <xf numFmtId="164" fontId="0" fillId="0" borderId="29" xfId="1" applyNumberFormat="1" applyFont="1" applyBorder="1" applyAlignment="1">
      <alignment horizontal="center" vertical="top" wrapText="1"/>
    </xf>
    <xf numFmtId="164" fontId="3" fillId="0" borderId="30" xfId="0" applyNumberFormat="1" applyFont="1" applyFill="1" applyBorder="1" applyAlignment="1">
      <alignment horizontal="center" vertical="center" wrapText="1"/>
    </xf>
    <xf numFmtId="3" fontId="17" fillId="0" borderId="30" xfId="0" applyNumberFormat="1" applyFont="1" applyFill="1" applyBorder="1" applyAlignment="1" applyProtection="1">
      <alignment horizontal="center" vertical="center" wrapText="1"/>
      <protection locked="0"/>
    </xf>
    <xf numFmtId="3" fontId="3" fillId="0" borderId="30" xfId="0" applyNumberFormat="1" applyFont="1" applyFill="1" applyBorder="1" applyAlignment="1" applyProtection="1">
      <alignment horizontal="center" vertical="center" wrapText="1"/>
      <protection locked="0"/>
    </xf>
    <xf numFmtId="3" fontId="0" fillId="0" borderId="30" xfId="0" applyNumberFormat="1" applyFont="1" applyFill="1" applyBorder="1" applyAlignment="1" applyProtection="1">
      <alignment horizontal="center" vertical="center" wrapText="1"/>
      <protection locked="0"/>
    </xf>
    <xf numFmtId="3" fontId="4" fillId="0" borderId="30" xfId="0" applyNumberFormat="1" applyFont="1" applyFill="1" applyBorder="1" applyAlignment="1" applyProtection="1">
      <alignment horizontal="center" vertical="center" wrapText="1"/>
      <protection locked="0"/>
    </xf>
    <xf numFmtId="3" fontId="0" fillId="0" borderId="30" xfId="0" applyNumberFormat="1" applyBorder="1"/>
    <xf numFmtId="3" fontId="3" fillId="0" borderId="30" xfId="0" applyNumberFormat="1" applyFont="1" applyFill="1" applyBorder="1" applyAlignment="1" applyProtection="1">
      <alignment horizontal="left" vertical="center" wrapText="1"/>
      <protection locked="0"/>
    </xf>
    <xf numFmtId="3" fontId="6" fillId="0" borderId="30" xfId="0" applyNumberFormat="1" applyFont="1" applyFill="1" applyBorder="1" applyAlignment="1" applyProtection="1">
      <alignment horizontal="center" vertical="center" wrapText="1"/>
      <protection locked="0"/>
    </xf>
    <xf numFmtId="3" fontId="9" fillId="0" borderId="30" xfId="0" applyNumberFormat="1" applyFont="1" applyFill="1" applyBorder="1" applyAlignment="1" applyProtection="1">
      <alignment horizontal="center" vertical="center" wrapText="1"/>
      <protection locked="0"/>
    </xf>
    <xf numFmtId="3" fontId="3" fillId="0" borderId="30" xfId="0" applyNumberFormat="1" applyFont="1" applyFill="1" applyBorder="1" applyProtection="1">
      <protection locked="0"/>
    </xf>
    <xf numFmtId="3" fontId="7" fillId="0" borderId="30" xfId="0" applyNumberFormat="1" applyFont="1" applyFill="1" applyBorder="1" applyAlignment="1" applyProtection="1">
      <alignment horizontal="center" vertical="center" wrapText="1"/>
      <protection locked="0"/>
    </xf>
    <xf numFmtId="3" fontId="3" fillId="0" borderId="30" xfId="0" applyNumberFormat="1" applyFont="1" applyFill="1" applyBorder="1"/>
    <xf numFmtId="164" fontId="3" fillId="0" borderId="31" xfId="0" applyNumberFormat="1" applyFont="1" applyFill="1" applyBorder="1" applyAlignment="1">
      <alignment horizontal="center" vertical="center" wrapText="1"/>
    </xf>
    <xf numFmtId="3" fontId="3" fillId="0" borderId="30" xfId="0" applyNumberFormat="1" applyFont="1" applyFill="1" applyBorder="1" applyAlignment="1" applyProtection="1">
      <alignment horizontal="center" vertical="center" wrapText="1"/>
    </xf>
    <xf numFmtId="164" fontId="3" fillId="0" borderId="32" xfId="0" applyNumberFormat="1" applyFont="1" applyFill="1" applyBorder="1" applyAlignment="1">
      <alignment horizontal="center" vertical="center" wrapText="1"/>
    </xf>
    <xf numFmtId="3" fontId="17" fillId="0" borderId="32" xfId="0" applyNumberFormat="1" applyFont="1" applyFill="1" applyBorder="1" applyAlignment="1" applyProtection="1">
      <alignment horizontal="center" vertical="center" wrapText="1"/>
      <protection locked="0"/>
    </xf>
    <xf numFmtId="3" fontId="3" fillId="0" borderId="32" xfId="0" applyNumberFormat="1" applyFont="1" applyFill="1" applyBorder="1" applyAlignment="1" applyProtection="1">
      <alignment horizontal="center" vertical="center" wrapText="1"/>
      <protection locked="0"/>
    </xf>
    <xf numFmtId="3" fontId="0" fillId="0" borderId="32" xfId="0" applyNumberFormat="1" applyFont="1" applyFill="1" applyBorder="1" applyAlignment="1" applyProtection="1">
      <alignment horizontal="center" vertical="center" wrapText="1"/>
      <protection locked="0"/>
    </xf>
    <xf numFmtId="3" fontId="4" fillId="0" borderId="32" xfId="0" applyNumberFormat="1" applyFont="1" applyFill="1" applyBorder="1" applyAlignment="1" applyProtection="1">
      <alignment horizontal="center" vertical="center" wrapText="1"/>
      <protection locked="0"/>
    </xf>
    <xf numFmtId="3" fontId="0" fillId="0" borderId="32" xfId="0" applyNumberFormat="1" applyBorder="1"/>
    <xf numFmtId="3" fontId="3" fillId="0" borderId="32" xfId="0" applyNumberFormat="1" applyFont="1" applyFill="1" applyBorder="1" applyAlignment="1" applyProtection="1">
      <alignment horizontal="left" vertical="center" wrapText="1"/>
      <protection locked="0"/>
    </xf>
    <xf numFmtId="3" fontId="6" fillId="0" borderId="32" xfId="0" applyNumberFormat="1" applyFont="1" applyFill="1" applyBorder="1" applyAlignment="1" applyProtection="1">
      <alignment horizontal="center" vertical="center" wrapText="1"/>
      <protection locked="0"/>
    </xf>
    <xf numFmtId="3" fontId="9" fillId="0" borderId="32" xfId="0" applyNumberFormat="1" applyFont="1" applyFill="1" applyBorder="1" applyAlignment="1" applyProtection="1">
      <alignment horizontal="center" vertical="center" wrapText="1"/>
      <protection locked="0"/>
    </xf>
    <xf numFmtId="3" fontId="3" fillId="0" borderId="32" xfId="0" applyNumberFormat="1" applyFont="1" applyFill="1" applyBorder="1" applyProtection="1">
      <protection locked="0"/>
    </xf>
    <xf numFmtId="3" fontId="7" fillId="0" borderId="32" xfId="0" applyNumberFormat="1" applyFont="1" applyFill="1" applyBorder="1" applyAlignment="1" applyProtection="1">
      <alignment horizontal="center" vertical="center" wrapText="1"/>
      <protection locked="0"/>
    </xf>
    <xf numFmtId="3" fontId="3" fillId="0" borderId="32" xfId="0" applyNumberFormat="1" applyFont="1" applyFill="1" applyBorder="1"/>
    <xf numFmtId="3" fontId="3" fillId="0" borderId="32" xfId="0" applyNumberFormat="1" applyFont="1" applyFill="1" applyBorder="1" applyAlignment="1" applyProtection="1">
      <alignment horizontal="center" vertical="center" wrapText="1"/>
    </xf>
    <xf numFmtId="164" fontId="0" fillId="0" borderId="33" xfId="1" applyNumberFormat="1" applyFont="1" applyBorder="1" applyAlignment="1">
      <alignment horizontal="center" vertical="top" wrapText="1"/>
    </xf>
    <xf numFmtId="0" fontId="2" fillId="0" borderId="0" xfId="0" applyFont="1" applyBorder="1" applyAlignment="1">
      <alignment vertical="top" wrapText="1"/>
    </xf>
    <xf numFmtId="0" fontId="0" fillId="0" borderId="0" xfId="0" applyAlignment="1">
      <alignment horizontal="left" vertical="center" wrapText="1"/>
    </xf>
    <xf numFmtId="0" fontId="5" fillId="0" borderId="33" xfId="5" applyFont="1" applyFill="1" applyBorder="1" applyAlignment="1">
      <alignment wrapText="1"/>
    </xf>
    <xf numFmtId="167" fontId="5" fillId="0" borderId="33" xfId="1" applyNumberFormat="1" applyFont="1" applyFill="1" applyBorder="1" applyAlignment="1">
      <alignment horizontal="center" vertical="center" wrapText="1"/>
    </xf>
    <xf numFmtId="14" fontId="0" fillId="0" borderId="0" xfId="0" applyNumberFormat="1" applyAlignment="1">
      <alignment horizontal="right"/>
    </xf>
    <xf numFmtId="49" fontId="5" fillId="0" borderId="33" xfId="5" applyNumberFormat="1" applyFont="1" applyFill="1" applyBorder="1" applyAlignment="1">
      <alignment wrapText="1"/>
    </xf>
    <xf numFmtId="0" fontId="3" fillId="0" borderId="21"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protection locked="0"/>
    </xf>
    <xf numFmtId="0" fontId="0" fillId="0" borderId="22" xfId="0" applyFont="1" applyFill="1" applyBorder="1" applyAlignment="1">
      <alignment horizontal="center"/>
    </xf>
    <xf numFmtId="0" fontId="6" fillId="0" borderId="22" xfId="0" applyFont="1" applyFill="1" applyBorder="1" applyAlignment="1">
      <alignment horizontal="center" vertical="center" wrapText="1"/>
    </xf>
    <xf numFmtId="0" fontId="6" fillId="0" borderId="22" xfId="0" applyFont="1" applyFill="1" applyBorder="1" applyAlignment="1" applyProtection="1">
      <alignment horizontal="center" vertical="center" wrapText="1"/>
      <protection locked="0"/>
    </xf>
    <xf numFmtId="0" fontId="0" fillId="0" borderId="24" xfId="0" applyFont="1" applyFill="1" applyBorder="1" applyAlignment="1">
      <alignment horizontal="center" vertical="center" wrapText="1"/>
    </xf>
    <xf numFmtId="0" fontId="3" fillId="0" borderId="26"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wrapText="1"/>
      <protection locked="0"/>
    </xf>
    <xf numFmtId="0" fontId="3" fillId="0" borderId="26" xfId="0" applyFont="1" applyFill="1" applyBorder="1" applyAlignment="1">
      <alignment horizontal="center" vertical="center" wrapText="1"/>
    </xf>
    <xf numFmtId="3" fontId="4" fillId="0" borderId="0" xfId="4" applyNumberFormat="1" applyFont="1" applyFill="1" applyBorder="1" applyAlignment="1" applyProtection="1">
      <alignment horizontal="center" vertical="center" wrapText="1"/>
      <protection locked="0"/>
    </xf>
    <xf numFmtId="9" fontId="3" fillId="0" borderId="22" xfId="2" applyFont="1" applyFill="1" applyBorder="1" applyAlignment="1" applyProtection="1">
      <alignment horizontal="center" vertical="center" wrapText="1"/>
      <protection locked="0"/>
    </xf>
    <xf numFmtId="3" fontId="4" fillId="0" borderId="24" xfId="0" applyNumberFormat="1" applyFont="1" applyFill="1" applyBorder="1" applyAlignment="1" applyProtection="1">
      <alignment horizontal="center" vertical="center" wrapText="1"/>
    </xf>
    <xf numFmtId="3" fontId="3" fillId="0" borderId="24" xfId="0" applyNumberFormat="1"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1" fontId="3" fillId="0" borderId="22" xfId="0" applyNumberFormat="1" applyFont="1" applyFill="1" applyBorder="1" applyAlignment="1" applyProtection="1">
      <alignment horizontal="center" vertical="center" wrapText="1"/>
      <protection locked="0"/>
    </xf>
    <xf numFmtId="165" fontId="3" fillId="0" borderId="22" xfId="2" applyNumberFormat="1" applyFont="1" applyFill="1" applyBorder="1" applyAlignment="1" applyProtection="1">
      <alignment horizontal="center" vertical="center" wrapText="1"/>
      <protection locked="0"/>
    </xf>
    <xf numFmtId="3" fontId="17" fillId="0" borderId="0" xfId="0" applyNumberFormat="1" applyFont="1" applyFill="1" applyBorder="1" applyAlignment="1" applyProtection="1">
      <alignment horizontal="center" vertical="center" wrapText="1"/>
      <protection locked="0"/>
    </xf>
    <xf numFmtId="164" fontId="2" fillId="0" borderId="27" xfId="1" applyNumberFormat="1" applyFont="1" applyBorder="1" applyAlignment="1">
      <alignment vertical="center" wrapText="1"/>
    </xf>
    <xf numFmtId="164" fontId="1" fillId="0" borderId="30" xfId="1" applyNumberFormat="1" applyFont="1" applyBorder="1" applyAlignment="1">
      <alignment vertical="center" wrapText="1"/>
    </xf>
    <xf numFmtId="164" fontId="1" fillId="0" borderId="32" xfId="1" applyNumberFormat="1" applyFont="1" applyBorder="1" applyAlignment="1">
      <alignment vertical="center" wrapText="1"/>
    </xf>
    <xf numFmtId="164" fontId="1" fillId="0" borderId="22" xfId="1" applyNumberFormat="1" applyFont="1" applyBorder="1" applyAlignment="1">
      <alignment vertical="center" wrapText="1"/>
    </xf>
    <xf numFmtId="164" fontId="1" fillId="0" borderId="22" xfId="1" applyNumberFormat="1" applyFont="1" applyBorder="1" applyAlignment="1">
      <alignment horizontal="center" vertical="top" wrapText="1"/>
    </xf>
    <xf numFmtId="9" fontId="3" fillId="0" borderId="25" xfId="2" applyFont="1" applyFill="1" applyBorder="1" applyAlignment="1" applyProtection="1">
      <alignment horizontal="center" vertical="center" wrapText="1"/>
      <protection locked="0"/>
    </xf>
    <xf numFmtId="1" fontId="3" fillId="0" borderId="22" xfId="2" applyNumberFormat="1" applyFont="1" applyFill="1" applyBorder="1" applyAlignment="1" applyProtection="1">
      <alignment horizontal="center" vertical="center" wrapText="1"/>
      <protection locked="0"/>
    </xf>
    <xf numFmtId="1" fontId="4" fillId="0" borderId="22" xfId="3" applyNumberFormat="1" applyFont="1" applyFill="1" applyBorder="1" applyAlignment="1" applyProtection="1">
      <alignment horizontal="center" vertical="center" wrapText="1"/>
      <protection locked="0"/>
    </xf>
    <xf numFmtId="166" fontId="3" fillId="0" borderId="22" xfId="0" applyNumberFormat="1" applyFont="1" applyFill="1" applyBorder="1" applyAlignment="1" applyProtection="1">
      <alignment horizontal="center" vertical="center" wrapText="1"/>
      <protection locked="0"/>
    </xf>
    <xf numFmtId="166" fontId="4" fillId="0" borderId="22" xfId="0" applyNumberFormat="1"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8" fontId="0" fillId="0" borderId="22" xfId="0" applyNumberFormat="1"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6" xfId="0" applyFont="1" applyBorder="1" applyAlignment="1">
      <alignment vertical="center" wrapText="1"/>
    </xf>
    <xf numFmtId="0" fontId="4" fillId="0" borderId="24" xfId="0" applyFont="1" applyFill="1" applyBorder="1" applyAlignment="1">
      <alignment horizontal="center" vertical="center"/>
    </xf>
    <xf numFmtId="0" fontId="3" fillId="0" borderId="20" xfId="0" applyFont="1" applyFill="1" applyBorder="1" applyAlignment="1">
      <alignment horizontal="center" vertical="center" wrapText="1"/>
    </xf>
    <xf numFmtId="164" fontId="1" fillId="0" borderId="0" xfId="1" applyNumberFormat="1" applyFont="1" applyBorder="1" applyAlignment="1">
      <alignment horizontal="center" vertical="center" wrapText="1"/>
    </xf>
    <xf numFmtId="164" fontId="3" fillId="0" borderId="21" xfId="1" applyNumberFormat="1" applyFont="1" applyFill="1" applyBorder="1" applyAlignment="1">
      <alignment horizontal="center" vertical="center" wrapText="1"/>
    </xf>
    <xf numFmtId="9" fontId="3" fillId="0" borderId="21" xfId="2" applyFont="1" applyFill="1" applyBorder="1" applyAlignment="1">
      <alignment horizontal="center" vertical="center" wrapText="1"/>
    </xf>
    <xf numFmtId="164" fontId="3" fillId="0" borderId="23" xfId="1" applyNumberFormat="1" applyFont="1" applyFill="1" applyBorder="1" applyAlignment="1">
      <alignment horizontal="center" vertical="center" wrapText="1"/>
    </xf>
    <xf numFmtId="3" fontId="0" fillId="0" borderId="24" xfId="0" applyNumberFormat="1" applyBorder="1" applyAlignment="1">
      <alignment horizontal="center" vertical="center"/>
    </xf>
    <xf numFmtId="3" fontId="4" fillId="0" borderId="24" xfId="4" applyNumberFormat="1" applyFont="1" applyFill="1" applyBorder="1" applyAlignment="1" applyProtection="1">
      <alignment horizontal="center" vertical="center" wrapText="1"/>
      <protection locked="0"/>
    </xf>
    <xf numFmtId="164" fontId="3" fillId="0" borderId="23" xfId="0" applyNumberFormat="1" applyFont="1" applyFill="1" applyBorder="1" applyAlignment="1">
      <alignment horizontal="center" vertical="center" wrapText="1"/>
    </xf>
    <xf numFmtId="164" fontId="3" fillId="0" borderId="21" xfId="0" applyNumberFormat="1" applyFont="1" applyFill="1" applyBorder="1" applyAlignment="1">
      <alignment horizontal="center" vertical="center" wrapText="1"/>
    </xf>
    <xf numFmtId="165" fontId="4" fillId="0" borderId="22" xfId="3" applyNumberFormat="1" applyFont="1" applyFill="1" applyBorder="1" applyAlignment="1" applyProtection="1">
      <alignment horizontal="center" vertical="center" wrapText="1"/>
      <protection locked="0"/>
    </xf>
    <xf numFmtId="9" fontId="0" fillId="0" borderId="22" xfId="0" applyNumberFormat="1" applyBorder="1"/>
    <xf numFmtId="9" fontId="3" fillId="0" borderId="21" xfId="0" applyNumberFormat="1" applyFont="1" applyFill="1" applyBorder="1" applyAlignment="1">
      <alignment horizontal="center" vertical="center" wrapText="1"/>
    </xf>
    <xf numFmtId="164" fontId="1" fillId="0" borderId="0" xfId="1" applyNumberFormat="1" applyFont="1" applyBorder="1" applyAlignment="1">
      <alignment vertical="center" wrapText="1"/>
    </xf>
    <xf numFmtId="164" fontId="2" fillId="0" borderId="22" xfId="1" applyNumberFormat="1" applyFont="1" applyBorder="1" applyAlignment="1">
      <alignment vertical="center" wrapText="1"/>
    </xf>
    <xf numFmtId="17" fontId="3" fillId="0" borderId="21" xfId="0" applyNumberFormat="1" applyFont="1" applyFill="1" applyBorder="1" applyAlignment="1">
      <alignment horizontal="center" vertical="center" wrapText="1"/>
    </xf>
    <xf numFmtId="0" fontId="7" fillId="0" borderId="22" xfId="0" applyNumberFormat="1" applyFont="1" applyFill="1" applyBorder="1" applyAlignment="1">
      <alignment horizontal="left" vertical="center"/>
    </xf>
    <xf numFmtId="0" fontId="18" fillId="0" borderId="0" xfId="5" applyFont="1" applyFill="1" applyBorder="1" applyAlignment="1">
      <alignment wrapText="1"/>
    </xf>
    <xf numFmtId="14" fontId="2" fillId="0" borderId="0" xfId="0" applyNumberFormat="1" applyFont="1" applyAlignment="1" applyProtection="1">
      <alignment vertical="top" wrapText="1"/>
    </xf>
    <xf numFmtId="0" fontId="0" fillId="0" borderId="0" xfId="0" applyFont="1" applyAlignment="1">
      <alignment vertical="top" wrapText="1"/>
    </xf>
    <xf numFmtId="164" fontId="1" fillId="0" borderId="0" xfId="1" applyNumberFormat="1" applyFont="1" applyBorder="1" applyAlignment="1">
      <alignment horizontal="center" vertical="top" wrapText="1"/>
    </xf>
    <xf numFmtId="164" fontId="2" fillId="0" borderId="0" xfId="1" applyNumberFormat="1" applyFont="1" applyBorder="1" applyAlignment="1">
      <alignment horizontal="center" vertical="top" wrapText="1"/>
    </xf>
    <xf numFmtId="14" fontId="0" fillId="0" borderId="0" xfId="0" applyNumberFormat="1" applyBorder="1" applyAlignment="1" applyProtection="1">
      <alignment vertical="top" wrapText="1"/>
    </xf>
    <xf numFmtId="164" fontId="0" fillId="0" borderId="0" xfId="0" applyNumberFormat="1" applyFill="1" applyAlignment="1">
      <alignment horizontal="left"/>
    </xf>
    <xf numFmtId="164" fontId="0" fillId="0" borderId="0" xfId="0" applyNumberFormat="1" applyFill="1"/>
    <xf numFmtId="164" fontId="15" fillId="0" borderId="0" xfId="0" applyNumberFormat="1" applyFont="1" applyFill="1" applyBorder="1"/>
    <xf numFmtId="0" fontId="0" fillId="0" borderId="0" xfId="0" applyFill="1"/>
    <xf numFmtId="164" fontId="0" fillId="0" borderId="0" xfId="0" applyNumberFormat="1" applyAlignment="1">
      <alignment vertical="top" wrapText="1"/>
    </xf>
    <xf numFmtId="164" fontId="2" fillId="0" borderId="0" xfId="0" applyNumberFormat="1" applyFont="1" applyAlignment="1">
      <alignment vertical="top" wrapText="1"/>
    </xf>
    <xf numFmtId="1" fontId="0" fillId="0" borderId="0" xfId="0" applyNumberFormat="1" applyAlignment="1">
      <alignment vertical="top" wrapText="1"/>
    </xf>
    <xf numFmtId="0" fontId="20" fillId="0" borderId="29" xfId="5" applyFont="1" applyFill="1" applyBorder="1" applyAlignment="1">
      <alignment wrapText="1"/>
    </xf>
    <xf numFmtId="167" fontId="20" fillId="0" borderId="29" xfId="1" applyNumberFormat="1" applyFont="1" applyFill="1" applyBorder="1" applyAlignment="1">
      <alignment horizontal="center" vertical="center" wrapText="1"/>
    </xf>
    <xf numFmtId="14" fontId="20" fillId="0" borderId="29" xfId="5" applyNumberFormat="1" applyFont="1" applyFill="1" applyBorder="1" applyAlignment="1">
      <alignment horizontal="right"/>
    </xf>
    <xf numFmtId="49" fontId="20" fillId="0" borderId="29" xfId="5" applyNumberFormat="1" applyFont="1" applyFill="1" applyBorder="1" applyAlignment="1">
      <alignment wrapText="1"/>
    </xf>
    <xf numFmtId="167" fontId="5" fillId="0" borderId="0" xfId="1" applyNumberFormat="1" applyFont="1" applyFill="1" applyBorder="1" applyAlignment="1">
      <alignment horizontal="center" vertical="center" wrapText="1"/>
    </xf>
    <xf numFmtId="167" fontId="5" fillId="0" borderId="29" xfId="1" applyNumberFormat="1" applyFont="1" applyFill="1" applyBorder="1" applyAlignment="1">
      <alignment horizontal="center" vertical="center" wrapText="1"/>
    </xf>
    <xf numFmtId="9" fontId="0" fillId="3" borderId="0" xfId="0" applyNumberFormat="1" applyFill="1"/>
    <xf numFmtId="167" fontId="5" fillId="0" borderId="34" xfId="1" applyNumberFormat="1" applyFont="1" applyFill="1" applyBorder="1" applyAlignment="1">
      <alignment horizontal="center" vertical="center" wrapText="1"/>
    </xf>
    <xf numFmtId="167" fontId="20" fillId="0" borderId="34" xfId="1" applyNumberFormat="1" applyFont="1" applyFill="1" applyBorder="1" applyAlignment="1">
      <alignment horizontal="center" vertical="center" wrapText="1"/>
    </xf>
    <xf numFmtId="43" fontId="3" fillId="0" borderId="2" xfId="1" applyFont="1" applyFill="1" applyBorder="1" applyAlignment="1" applyProtection="1">
      <alignment vertical="center" wrapText="1"/>
      <protection locked="0"/>
    </xf>
    <xf numFmtId="43" fontId="9" fillId="0" borderId="2" xfId="1" applyFont="1" applyFill="1" applyBorder="1" applyAlignment="1" applyProtection="1">
      <alignment vertical="center" wrapText="1"/>
      <protection locked="0"/>
    </xf>
    <xf numFmtId="43" fontId="6" fillId="0" borderId="2" xfId="1" applyFont="1" applyFill="1" applyBorder="1" applyAlignment="1" applyProtection="1">
      <alignment vertical="center" wrapText="1"/>
      <protection locked="0"/>
    </xf>
    <xf numFmtId="43" fontId="3" fillId="0" borderId="2" xfId="1" applyFont="1" applyFill="1" applyBorder="1" applyAlignment="1">
      <alignment vertical="center" wrapText="1"/>
    </xf>
    <xf numFmtId="43" fontId="3" fillId="0" borderId="2" xfId="1" applyFont="1" applyFill="1" applyBorder="1" applyAlignment="1" applyProtection="1">
      <alignment vertical="center"/>
      <protection locked="0"/>
    </xf>
    <xf numFmtId="0" fontId="3" fillId="0" borderId="2" xfId="1" applyNumberFormat="1" applyFont="1" applyFill="1" applyBorder="1" applyAlignment="1" applyProtection="1">
      <alignment vertical="center" wrapText="1"/>
      <protection locked="0"/>
    </xf>
    <xf numFmtId="0" fontId="17" fillId="2" borderId="35" xfId="0" applyFont="1" applyFill="1" applyBorder="1" applyAlignment="1" applyProtection="1">
      <alignment horizontal="center" vertical="center" wrapText="1"/>
      <protection locked="0"/>
    </xf>
    <xf numFmtId="1" fontId="3" fillId="0" borderId="0" xfId="0" applyNumberFormat="1" applyFont="1" applyFill="1" applyBorder="1" applyProtection="1">
      <protection locked="0"/>
    </xf>
    <xf numFmtId="0" fontId="13" fillId="0" borderId="0" xfId="0" applyFont="1" applyFill="1" applyBorder="1" applyAlignment="1" applyProtection="1">
      <alignment horizontal="left" vertical="center" wrapText="1"/>
      <protection locked="0"/>
    </xf>
    <xf numFmtId="0" fontId="19" fillId="4" borderId="36" xfId="0" applyFont="1" applyFill="1" applyBorder="1" applyAlignment="1" applyProtection="1">
      <alignment horizontal="center" vertical="center" wrapText="1"/>
      <protection locked="0"/>
    </xf>
    <xf numFmtId="164" fontId="0" fillId="0" borderId="2" xfId="0" applyNumberFormat="1" applyFont="1" applyFill="1" applyBorder="1" applyAlignment="1">
      <alignment horizontal="center" vertical="center" wrapText="1"/>
    </xf>
    <xf numFmtId="0" fontId="8" fillId="0" borderId="33" xfId="5" applyFont="1" applyFill="1" applyBorder="1" applyAlignment="1">
      <alignment wrapText="1"/>
    </xf>
    <xf numFmtId="167" fontId="8" fillId="0" borderId="33" xfId="1" applyNumberFormat="1" applyFont="1" applyFill="1" applyBorder="1" applyAlignment="1">
      <alignment horizontal="center" vertical="center" wrapText="1"/>
    </xf>
    <xf numFmtId="167" fontId="8" fillId="0" borderId="34" xfId="1" applyNumberFormat="1" applyFont="1" applyFill="1" applyBorder="1" applyAlignment="1">
      <alignment horizontal="center" vertical="center" wrapText="1"/>
    </xf>
    <xf numFmtId="167" fontId="8" fillId="0" borderId="29" xfId="1" applyNumberFormat="1" applyFont="1" applyFill="1" applyBorder="1" applyAlignment="1">
      <alignment horizontal="center" vertical="center" wrapText="1"/>
    </xf>
    <xf numFmtId="167" fontId="8" fillId="0" borderId="0" xfId="1" applyNumberFormat="1" applyFont="1" applyFill="1" applyBorder="1" applyAlignment="1">
      <alignment horizontal="center" vertical="center" wrapText="1"/>
    </xf>
    <xf numFmtId="14" fontId="1" fillId="0" borderId="0" xfId="0" applyNumberFormat="1" applyFont="1" applyAlignment="1">
      <alignment horizontal="right"/>
    </xf>
    <xf numFmtId="49" fontId="8" fillId="0" borderId="33" xfId="5" applyNumberFormat="1" applyFont="1" applyFill="1" applyBorder="1" applyAlignment="1">
      <alignment wrapText="1"/>
    </xf>
    <xf numFmtId="0" fontId="1" fillId="0" borderId="0" xfId="0" applyFont="1"/>
    <xf numFmtId="0" fontId="5" fillId="0" borderId="6" xfId="5" applyFont="1" applyFill="1" applyBorder="1" applyAlignment="1">
      <alignment wrapText="1"/>
    </xf>
    <xf numFmtId="0" fontId="5" fillId="0" borderId="6" xfId="5" applyFont="1" applyFill="1" applyBorder="1" applyAlignment="1">
      <alignment vertical="top" wrapText="1"/>
    </xf>
    <xf numFmtId="164" fontId="5" fillId="0" borderId="6" xfId="1" applyNumberFormat="1" applyFont="1" applyFill="1" applyBorder="1" applyAlignment="1">
      <alignment horizontal="center" vertical="top" wrapText="1"/>
    </xf>
    <xf numFmtId="164" fontId="0" fillId="0" borderId="6" xfId="1" applyNumberFormat="1" applyFont="1" applyFill="1" applyBorder="1" applyAlignment="1">
      <alignment horizontal="center" vertical="top" wrapText="1"/>
    </xf>
    <xf numFmtId="164" fontId="0" fillId="0" borderId="29" xfId="1" applyNumberFormat="1" applyFont="1" applyFill="1" applyBorder="1" applyAlignment="1">
      <alignment horizontal="center" vertical="top" wrapText="1"/>
    </xf>
    <xf numFmtId="0" fontId="0" fillId="0" borderId="6" xfId="0" applyBorder="1"/>
    <xf numFmtId="0" fontId="0" fillId="0" borderId="33" xfId="0" applyBorder="1"/>
    <xf numFmtId="164" fontId="0" fillId="0" borderId="6" xfId="1" applyNumberFormat="1" applyFont="1" applyBorder="1" applyAlignment="1" applyProtection="1">
      <alignment horizontal="center" vertical="top" wrapText="1"/>
    </xf>
    <xf numFmtId="164" fontId="21" fillId="0" borderId="0" xfId="0" applyNumberFormat="1" applyFont="1" applyAlignment="1">
      <alignment vertical="top" wrapText="1"/>
    </xf>
    <xf numFmtId="0" fontId="17" fillId="3" borderId="5" xfId="0" applyFont="1" applyFill="1" applyBorder="1" applyAlignment="1" applyProtection="1">
      <alignment horizontal="left"/>
      <protection locked="0"/>
    </xf>
    <xf numFmtId="0" fontId="17" fillId="3" borderId="5" xfId="0" applyFont="1" applyFill="1" applyBorder="1" applyAlignment="1" applyProtection="1">
      <alignment horizontal="center"/>
      <protection locked="0"/>
    </xf>
    <xf numFmtId="0" fontId="21" fillId="3" borderId="5" xfId="0" applyFont="1" applyFill="1" applyBorder="1" applyAlignment="1">
      <alignment horizontal="center"/>
    </xf>
    <xf numFmtId="3" fontId="17" fillId="3" borderId="5" xfId="0" applyNumberFormat="1" applyFont="1" applyFill="1" applyBorder="1" applyAlignment="1" applyProtection="1">
      <alignment horizontal="center" vertical="center" wrapText="1"/>
      <protection locked="0"/>
    </xf>
    <xf numFmtId="0" fontId="17" fillId="3" borderId="5" xfId="0" applyNumberFormat="1"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164" fontId="17" fillId="3" borderId="5" xfId="0" applyNumberFormat="1" applyFont="1" applyFill="1" applyBorder="1" applyAlignment="1" applyProtection="1">
      <alignment horizontal="center" vertical="center" wrapText="1"/>
      <protection locked="0"/>
    </xf>
    <xf numFmtId="0" fontId="0" fillId="0" borderId="0" xfId="0" applyFont="1" applyAlignment="1">
      <alignment horizontal="center" vertical="top" wrapText="1"/>
    </xf>
    <xf numFmtId="0" fontId="0" fillId="0" borderId="0" xfId="0" applyFont="1" applyBorder="1" applyAlignment="1">
      <alignment vertical="top" wrapText="1"/>
    </xf>
    <xf numFmtId="0" fontId="8" fillId="0" borderId="0" xfId="5" applyFont="1" applyFill="1" applyBorder="1" applyAlignment="1">
      <alignment wrapText="1"/>
    </xf>
    <xf numFmtId="0" fontId="0" fillId="0" borderId="6" xfId="0" applyFont="1" applyBorder="1" applyAlignment="1">
      <alignment vertical="top" wrapText="1"/>
    </xf>
    <xf numFmtId="0" fontId="8" fillId="0" borderId="6" xfId="5" applyFont="1" applyFill="1" applyBorder="1" applyAlignment="1">
      <alignment vertical="top" wrapText="1"/>
    </xf>
    <xf numFmtId="164" fontId="1" fillId="0" borderId="0" xfId="1" applyNumberFormat="1" applyFont="1" applyAlignment="1">
      <alignment horizontal="center" vertical="center" wrapText="1"/>
    </xf>
    <xf numFmtId="3" fontId="8" fillId="0" borderId="0" xfId="5" applyNumberFormat="1" applyFont="1" applyFill="1" applyBorder="1" applyAlignment="1">
      <alignment horizontal="right" vertical="center" wrapText="1"/>
    </xf>
    <xf numFmtId="164" fontId="1" fillId="0" borderId="6" xfId="1" applyNumberFormat="1" applyFont="1" applyBorder="1" applyAlignment="1">
      <alignment horizontal="center" vertical="top" wrapText="1"/>
    </xf>
    <xf numFmtId="164" fontId="8" fillId="0" borderId="6" xfId="1" applyNumberFormat="1" applyFont="1" applyFill="1" applyBorder="1" applyAlignment="1">
      <alignment horizontal="center" vertical="top" wrapText="1"/>
    </xf>
    <xf numFmtId="164" fontId="1" fillId="0" borderId="0" xfId="1" applyNumberFormat="1" applyFont="1" applyAlignment="1">
      <alignment vertical="top" wrapText="1"/>
    </xf>
    <xf numFmtId="0" fontId="8" fillId="0" borderId="0" xfId="5" applyFont="1" applyFill="1" applyBorder="1" applyAlignment="1">
      <alignment vertical="center" wrapText="1"/>
    </xf>
    <xf numFmtId="0" fontId="0" fillId="0" borderId="0" xfId="0" applyFont="1" applyAlignment="1">
      <alignment horizontal="center" vertical="center" wrapText="1"/>
    </xf>
    <xf numFmtId="0" fontId="0" fillId="0" borderId="6" xfId="0" applyFont="1" applyBorder="1"/>
    <xf numFmtId="167" fontId="20" fillId="0" borderId="37" xfId="1" applyNumberFormat="1" applyFont="1" applyFill="1" applyBorder="1" applyAlignment="1">
      <alignment horizontal="center" vertical="center" wrapText="1"/>
    </xf>
    <xf numFmtId="167" fontId="20" fillId="0" borderId="39"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Border="1" applyAlignment="1">
      <alignment vertical="center" wrapText="1"/>
    </xf>
    <xf numFmtId="0" fontId="4" fillId="0" borderId="0" xfId="0" applyFont="1" applyFill="1" applyBorder="1" applyAlignment="1" applyProtection="1">
      <alignment horizontal="center" vertical="center" wrapText="1"/>
      <protection locked="0"/>
    </xf>
    <xf numFmtId="0" fontId="5" fillId="0" borderId="41" xfId="5" applyFont="1" applyFill="1" applyBorder="1" applyAlignment="1">
      <alignment wrapText="1"/>
    </xf>
    <xf numFmtId="0" fontId="5" fillId="0" borderId="40" xfId="5" applyFont="1" applyFill="1" applyBorder="1" applyAlignment="1">
      <alignment wrapText="1"/>
    </xf>
    <xf numFmtId="0" fontId="4" fillId="0" borderId="41"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left" vertical="center" wrapText="1"/>
      <protection locked="0"/>
    </xf>
    <xf numFmtId="0" fontId="3" fillId="0" borderId="41" xfId="0" applyFont="1" applyFill="1" applyBorder="1" applyProtection="1">
      <protection locked="0"/>
    </xf>
    <xf numFmtId="0" fontId="3" fillId="0" borderId="41" xfId="0" applyFont="1" applyFill="1" applyBorder="1" applyAlignment="1" applyProtection="1">
      <alignment wrapText="1"/>
      <protection locked="0"/>
    </xf>
    <xf numFmtId="0" fontId="8" fillId="0" borderId="41" xfId="0" applyFont="1" applyFill="1" applyBorder="1" applyAlignment="1">
      <alignment vertical="center" wrapText="1"/>
    </xf>
    <xf numFmtId="0" fontId="3" fillId="0" borderId="41" xfId="0" applyFont="1" applyFill="1" applyBorder="1" applyAlignment="1" applyProtection="1">
      <alignment horizontal="center" vertical="center" wrapText="1"/>
      <protection locked="0"/>
    </xf>
    <xf numFmtId="0" fontId="6" fillId="0" borderId="41" xfId="0" applyFont="1" applyFill="1" applyBorder="1" applyAlignment="1" applyProtection="1">
      <alignment horizontal="center" vertical="center" wrapText="1"/>
      <protection locked="0"/>
    </xf>
    <xf numFmtId="0" fontId="8" fillId="0" borderId="41" xfId="0" applyFont="1" applyBorder="1" applyAlignment="1">
      <alignment vertical="center" wrapText="1"/>
    </xf>
    <xf numFmtId="0" fontId="3" fillId="0" borderId="41" xfId="0" applyFont="1" applyFill="1" applyBorder="1" applyAlignment="1">
      <alignment horizontal="center" vertical="center" wrapText="1"/>
    </xf>
    <xf numFmtId="0" fontId="0" fillId="0" borderId="41" xfId="0" applyFont="1" applyFill="1" applyBorder="1" applyAlignment="1" applyProtection="1">
      <alignment horizontal="center" vertical="center" wrapText="1"/>
      <protection locked="0"/>
    </xf>
    <xf numFmtId="0" fontId="0" fillId="0" borderId="41" xfId="0" applyBorder="1"/>
    <xf numFmtId="0" fontId="7" fillId="0" borderId="41" xfId="0" applyFont="1" applyFill="1" applyBorder="1" applyAlignment="1" applyProtection="1">
      <alignment horizontal="left" vertical="center" wrapText="1"/>
      <protection locked="0"/>
    </xf>
    <xf numFmtId="0" fontId="3" fillId="0" borderId="41" xfId="0" applyFont="1" applyFill="1" applyBorder="1" applyAlignment="1" applyProtection="1">
      <alignment horizontal="center" wrapText="1"/>
      <protection locked="0"/>
    </xf>
    <xf numFmtId="0" fontId="3" fillId="0" borderId="41" xfId="0" applyFont="1" applyFill="1" applyBorder="1" applyAlignment="1">
      <alignment wrapText="1"/>
    </xf>
    <xf numFmtId="0" fontId="3" fillId="0" borderId="42" xfId="0" applyFont="1" applyFill="1" applyBorder="1" applyAlignment="1">
      <alignment horizontal="center" vertical="center" wrapText="1"/>
    </xf>
    <xf numFmtId="0" fontId="3" fillId="4" borderId="35" xfId="0" applyFont="1" applyFill="1" applyBorder="1" applyAlignment="1" applyProtection="1">
      <alignment horizontal="center" vertical="center" wrapText="1"/>
      <protection locked="0"/>
    </xf>
    <xf numFmtId="0" fontId="21" fillId="0" borderId="0" xfId="0" applyFont="1" applyAlignment="1">
      <alignment vertical="top" wrapText="1"/>
    </xf>
    <xf numFmtId="0" fontId="22" fillId="0" borderId="38" xfId="0" applyNumberFormat="1" applyFont="1" applyFill="1" applyBorder="1" applyAlignment="1" applyProtection="1">
      <alignment vertical="center" wrapText="1"/>
    </xf>
    <xf numFmtId="0" fontId="22" fillId="0" borderId="38" xfId="0" applyNumberFormat="1" applyFont="1" applyFill="1" applyBorder="1" applyAlignment="1" applyProtection="1">
      <alignment wrapText="1"/>
    </xf>
    <xf numFmtId="167" fontId="22" fillId="0" borderId="38" xfId="0" applyNumberFormat="1" applyFont="1" applyFill="1" applyBorder="1" applyAlignment="1" applyProtection="1">
      <alignment horizontal="center" vertical="center" wrapText="1"/>
    </xf>
    <xf numFmtId="167" fontId="0" fillId="0" borderId="0" xfId="0" applyNumberFormat="1"/>
    <xf numFmtId="0" fontId="0" fillId="0" borderId="2" xfId="0" applyBorder="1" applyAlignment="1">
      <alignment horizontal="center" vertical="center"/>
    </xf>
    <xf numFmtId="164" fontId="2" fillId="0" borderId="17" xfId="0" applyNumberFormat="1" applyFont="1" applyBorder="1" applyAlignment="1">
      <alignment horizontal="right"/>
    </xf>
    <xf numFmtId="164" fontId="2" fillId="0" borderId="18" xfId="0" applyNumberFormat="1" applyFont="1" applyBorder="1" applyAlignment="1">
      <alignment horizontal="right"/>
    </xf>
    <xf numFmtId="164" fontId="2" fillId="0" borderId="18" xfId="1" applyNumberFormat="1" applyFont="1" applyBorder="1" applyAlignment="1">
      <alignment horizontal="right"/>
    </xf>
  </cellXfs>
  <cellStyles count="7">
    <cellStyle name="Excel Built-in Normal" xfId="6"/>
    <cellStyle name="Milliers" xfId="1" builtinId="3"/>
    <cellStyle name="Milliers 2" xfId="4"/>
    <cellStyle name="Normal" xfId="0" builtinId="0"/>
    <cellStyle name="Normal_Feuil1" xfId="5"/>
    <cellStyle name="Pourcentage" xfId="2" builtinId="5"/>
    <cellStyle name="Pourcentage 2" xfId="3"/>
  </cellStyles>
  <dxfs count="292">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22"/>
        </left>
        <right style="thin">
          <color indexed="22"/>
        </right>
        <top style="thin">
          <color indexed="22"/>
        </top>
        <bottom/>
      </border>
      <protection locked="1" hidden="0"/>
    </dxf>
    <dxf>
      <fill>
        <patternFill patternType="solid">
          <fgColor indexed="64"/>
          <bgColor theme="3" tint="0.39997558519241921"/>
        </patternFill>
      </fill>
    </dxf>
    <dxf>
      <numFmt numFmtId="0" formatCode="General"/>
    </dxf>
    <dxf>
      <fill>
        <patternFill patternType="solid">
          <fgColor indexed="64"/>
          <bgColor theme="3" tint="0.39997558519241921"/>
        </patternFill>
      </fill>
    </dxf>
    <dxf>
      <numFmt numFmtId="0" formatCode="General"/>
    </dxf>
    <dxf>
      <fill>
        <patternFill patternType="solid">
          <fgColor indexed="64"/>
          <bgColor theme="3" tint="0.39997558519241921"/>
        </patternFill>
      </fill>
    </dxf>
    <dxf>
      <fill>
        <patternFill patternType="solid">
          <fgColor indexed="64"/>
          <bgColor theme="3" tint="0.39997558519241921"/>
        </patternFill>
      </fill>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numFmt numFmtId="13" formatCode="0%"/>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numFmt numFmtId="164" formatCode="_-* #,##0\ _€_-;\-* #,##0\ _€_-;_-* &quot;-&quot;??\ _€_-;_-@_-"/>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numFmt numFmtId="3" formatCode="#,##0"/>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fill>
        <patternFill patternType="solid">
          <fgColor indexed="64"/>
          <bgColor theme="3" tint="0.399975585192419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solid">
          <fgColor indexed="64"/>
          <bgColor theme="3" tint="0.39997558519241921"/>
        </patternFill>
      </fill>
      <alignment horizontal="center" vertical="bottom" textRotation="0" wrapText="0" indent="0" justifyLastLine="0" shrinkToFit="0" readingOrder="0"/>
    </dxf>
    <dxf>
      <alignment horizontal="center" textRotation="0" indent="0" justifyLastLine="0" shrinkToFit="0" readingOrder="0"/>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3" tint="0.39997558519241921"/>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3" tint="0.39997558519241921"/>
        </patternFill>
      </fill>
    </dxf>
    <dxf>
      <font>
        <b val="0"/>
        <i val="0"/>
        <strike val="0"/>
        <condense val="0"/>
        <extend val="0"/>
        <outline val="0"/>
        <shadow val="0"/>
        <u val="none"/>
        <vertAlign val="baseline"/>
        <sz val="11"/>
        <color theme="1"/>
        <name val="Calibri"/>
        <scheme val="minor"/>
      </font>
      <fill>
        <patternFill patternType="solid">
          <fgColor indexed="64"/>
          <bgColor theme="3" tint="0.39997558519241921"/>
        </patternFill>
      </fill>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auto="1"/>
        <name val="Calibri"/>
        <scheme val="minor"/>
      </font>
      <fill>
        <patternFill patternType="solid">
          <fgColor indexed="64"/>
          <bgColor theme="3" tint="0.39997558519241921"/>
        </patternFill>
      </fill>
      <alignment horizontal="center" vertical="bottom"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3" tint="0.39997558519241921"/>
        </patternFill>
      </fill>
      <alignment horizontal="left" vertical="bottom" textRotation="0" wrapText="0" indent="0" justifyLastLine="0" shrinkToFit="0" readingOrder="0"/>
      <border diagonalUp="0" diagonalDown="0" outline="0">
        <left style="thin">
          <color auto="1"/>
        </left>
        <right style="thin">
          <color auto="1"/>
        </right>
        <top/>
        <bottom/>
      </border>
      <protection locked="0" hidden="0"/>
    </dxf>
    <dxf>
      <fill>
        <patternFill patternType="solid">
          <fgColor indexed="64"/>
          <bgColor theme="3" tint="0.39997558519241921"/>
        </patternFill>
      </fill>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b val="0"/>
        <i val="0"/>
        <strike val="0"/>
        <condense val="0"/>
        <extend val="0"/>
        <outline val="0"/>
        <shadow val="0"/>
        <u val="none"/>
        <vertAlign val="baseline"/>
        <sz val="11"/>
        <color indexed="8"/>
        <name val="Calibri"/>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9" formatCode="dd/mm/yyyy"/>
      <fill>
        <patternFill patternType="none">
          <fgColor indexed="64"/>
          <bgColor indexed="65"/>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7" formatCode="_-* #,##0\ &quot;€&quot;_-;\-* #,##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border outline="0">
        <bottom style="thin">
          <color indexed="8"/>
        </bottom>
      </border>
    </dxf>
    <dxf>
      <alignment horizontal="center" vertical="center" textRotation="0" wrapText="1" indent="0" justifyLastLine="0" shrinkToFit="0" readingOrder="0"/>
    </dxf>
    <dxf>
      <numFmt numFmtId="164" formatCode="_-* #,##0\ _€_-;\-* #,##0\ _€_-;_-* &quot;-&quot;??\ _€_-;_-@_-"/>
      <alignment vertical="top" textRotation="0" wrapText="1" indent="0" justifyLastLine="0" shrinkToFit="0" readingOrder="0"/>
    </dxf>
    <dxf>
      <numFmt numFmtId="0" formatCode="General"/>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numFmt numFmtId="19" formatCode="dd/mm/yyyy"/>
      <alignment horizontal="general" vertical="top" textRotation="0" wrapText="1" indent="0" justifyLastLine="0" shrinkToFit="0" readingOrder="0"/>
      <protection locked="1" hidden="0"/>
    </dxf>
    <dxf>
      <numFmt numFmtId="0" formatCode="General"/>
      <alignment horizontal="general" vertical="top" textRotation="0" wrapText="1" indent="0" justifyLastLine="0" shrinkToFit="0" readingOrder="0"/>
    </dxf>
    <dxf>
      <numFmt numFmtId="164" formatCode="_-* #,##0\ _€_-;\-* #,##0\ _€_-;_-* &quot;-&quot;??\ _€_-;_-@_-"/>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font>
        <strike val="0"/>
        <outline val="0"/>
        <shadow val="0"/>
        <u val="none"/>
        <vertAlign val="baseline"/>
        <sz val="11"/>
        <color theme="1"/>
        <name val="Calibri"/>
      </font>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font>
        <strike val="0"/>
        <outline val="0"/>
        <shadow val="0"/>
        <u val="none"/>
        <vertAlign val="baseline"/>
        <sz val="11"/>
        <color theme="1"/>
        <name val="Calibri"/>
      </font>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font>
        <strike val="0"/>
        <outline val="0"/>
        <shadow val="0"/>
        <u val="none"/>
        <vertAlign val="baseline"/>
        <sz val="11"/>
        <color theme="1"/>
        <name val="Calibri"/>
      </font>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numFmt numFmtId="164" formatCode="_-* #,##0\ _€_-;\-* #,##0\ _€_-;_-* &quot;-&quot;??\ _€_-;_-@_-"/>
      <alignment horizontal="center" vertical="top" textRotation="0" wrapText="1" indent="0" justifyLastLine="0" shrinkToFit="0" readingOrder="0"/>
    </dxf>
    <dxf>
      <font>
        <strike val="0"/>
        <outline val="0"/>
        <shadow val="0"/>
        <u val="none"/>
        <vertAlign val="baseline"/>
        <sz val="11"/>
        <color theme="1"/>
        <name val="Calibri"/>
      </font>
      <numFmt numFmtId="164" formatCode="_-* #,##0\ _€_-;\-* #,##0\ _€_-;_-* &quot;-&quot;??\ _€_-;_-@_-"/>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strike val="0"/>
        <outline val="0"/>
        <shadow val="0"/>
        <u val="none"/>
        <vertAlign val="baseline"/>
        <sz val="11"/>
        <color theme="1"/>
        <name val="Calibri"/>
      </font>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fill>
        <patternFill patternType="none">
          <bgColor auto="1"/>
        </patternFill>
      </fill>
    </dxf>
    <dxf>
      <fill>
        <patternFill patternType="none">
          <bgColor auto="1"/>
        </patternFill>
      </fill>
    </dxf>
    <dxf>
      <numFmt numFmtId="164" formatCode="_-* #,##0\ _€_-;\-* #,##0\ _€_-;_-* &quot;-&quot;??\ _€_-;_-@_-"/>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thilde BEHHAR" refreshedDate="42544.76125949074" createdVersion="4" refreshedVersion="4" minRefreshableVersion="3" recordCount="213">
  <cacheSource type="worksheet">
    <worksheetSource name="Tableau1"/>
  </cacheSource>
  <cacheFields count="64">
    <cacheField name="Communes" numFmtId="0">
      <sharedItems/>
    </cacheField>
    <cacheField name="Code fiche étude" numFmtId="0">
      <sharedItems/>
    </cacheField>
    <cacheField name="TF Finalisé" numFmtId="0">
      <sharedItems/>
    </cacheField>
    <cacheField name="Quartier" numFmtId="0">
      <sharedItems count="28">
        <s v="Emile Dubois / Maladrerie"/>
        <s v="Transverse AUBERVILLIERS"/>
        <s v="Villette / 4 Chemins"/>
        <s v="Les 4000"/>
        <s v="Centre-Ville"/>
        <s v="Orgemont"/>
        <s v="La Source"/>
        <s v="Transverse EPINAY"/>
        <s v="Quartiers Sud"/>
        <s v="Fauvettes / Joncherolles"/>
        <s v="Lafargue / Parmentier"/>
        <s v="Centre ville Insalubrité et basilique"/>
        <s v="Franc Moisin"/>
        <s v="Floréal / Saussaie / Courtille"/>
        <s v="Transverse SAINT-DENIS"/>
        <s v="Cordon"/>
        <s v="St Ouen / Ile St Denis"/>
        <s v="Rosiers Debain"/>
        <s v="St Ouen "/>
        <s v="Clos Saint-Lazare"/>
        <s v="La Prêtresse"/>
        <s v="Transverse Stains"/>
        <s v="Saint-Leu"/>
        <s v="Quartier Sud" u="1"/>
        <s v="transverse" u="1"/>
        <s v="Clos Saint-Lazare / Prêtresse" u="1"/>
        <s v="Centre ville" u="1"/>
        <s v="Vieux St Ouen / Cordon" u="1"/>
      </sharedItems>
    </cacheField>
    <cacheField name="DAS" numFmtId="0">
      <sharedItems containsBlank="1"/>
    </cacheField>
    <cacheField name="code QPV" numFmtId="0">
      <sharedItems containsBlank="1"/>
    </cacheField>
    <cacheField name="RE_Code GEN" numFmtId="0">
      <sharedItems containsBlank="1"/>
    </cacheField>
    <cacheField name="Libellé de l'opération" numFmtId="0">
      <sharedItems/>
    </cacheField>
    <cacheField name="TF_Libellé de l'opération" numFmtId="0">
      <sharedItems containsBlank="1"/>
    </cacheField>
    <cacheField name="Typologie" numFmtId="0">
      <sharedItems/>
    </cacheField>
    <cacheField name="Typologie DRIHL" numFmtId="0">
      <sharedItems containsBlank="1"/>
    </cacheField>
    <cacheField name="Maître d'ouvrage et responsable de l'étude" numFmtId="0">
      <sharedItems/>
    </cacheField>
    <cacheField name="Pilotes" numFmtId="0">
      <sharedItems containsBlank="1"/>
    </cacheField>
    <cacheField name="Fonctionnement" numFmtId="0">
      <sharedItems containsBlank="1"/>
    </cacheField>
    <cacheField name="Investissement" numFmtId="0">
      <sharedItems containsBlank="1"/>
    </cacheField>
    <cacheField name="Descriptif" numFmtId="0">
      <sharedItems containsBlank="1" longText="1"/>
    </cacheField>
    <cacheField name="Coût HT" numFmtId="0">
      <sharedItems containsString="0" containsBlank="1" containsNumber="1" minValue="0" maxValue="750000"/>
    </cacheField>
    <cacheField name="Coût TTC" numFmtId="0">
      <sharedItems containsString="0" containsBlank="1" containsNumber="1" minValue="0" maxValue="900000"/>
    </cacheField>
    <cacheField name="Base de financement" numFmtId="0">
      <sharedItems containsString="0" containsBlank="1" containsNumber="1" containsInteger="1" minValue="0" maxValue="750000"/>
    </cacheField>
    <cacheField name="Subvention ANRU" numFmtId="0">
      <sharedItems containsBlank="1" containsMixedTypes="1" containsNumber="1" minValue="0" maxValue="247500"/>
    </cacheField>
    <cacheField name="Commentaire (mode de calcul, subvention, …)" numFmtId="0">
      <sharedItems containsBlank="1"/>
    </cacheField>
    <cacheField name="Ville" numFmtId="0">
      <sharedItems containsString="0" containsBlank="1" containsNumber="1" minValue="0" maxValue="172488"/>
    </cacheField>
    <cacheField name="Plaine Commune" numFmtId="0">
      <sharedItems containsString="0" containsBlank="1" containsNumber="1" minValue="0" maxValue="114000"/>
    </cacheField>
    <cacheField name="Bailleurs" numFmtId="0">
      <sharedItems containsString="0" containsBlank="1" containsNumber="1" minValue="0" maxValue="502500"/>
    </cacheField>
    <cacheField name="SARVILEP" numFmtId="0">
      <sharedItems containsString="0" containsBlank="1" containsNumber="1" containsInteger="1" minValue="0" maxValue="502500"/>
    </cacheField>
    <cacheField name="France Habitation" numFmtId="0">
      <sharedItems containsString="0" containsBlank="1" containsNumber="1" containsInteger="1" minValue="0" maxValue="76625"/>
    </cacheField>
    <cacheField name="SEMISO" numFmtId="0">
      <sharedItems containsString="0" containsBlank="1" containsNumber="1" containsInteger="1" minValue="1015" maxValue="1015"/>
    </cacheField>
    <cacheField name="SOHP" numFmtId="0">
      <sharedItems containsString="0" containsBlank="1" containsNumber="1" containsInteger="1" minValue="0" maxValue="110000"/>
    </cacheField>
    <cacheField name="OSICA" numFmtId="0">
      <sharedItems containsString="0" containsBlank="1" containsNumber="1" containsInteger="1" minValue="0" maxValue="7500"/>
    </cacheField>
    <cacheField name="Logirep" numFmtId="0">
      <sharedItems containsString="0" containsBlank="1" containsNumber="1" containsInteger="1" minValue="0" maxValue="72500"/>
    </cacheField>
    <cacheField name="Toit et Joie " numFmtId="0">
      <sharedItems containsString="0" containsBlank="1" containsNumber="1" containsInteger="1" minValue="1663" maxValue="18030"/>
    </cacheField>
    <cacheField name="Antin Résidences" numFmtId="0">
      <sharedItems containsString="0" containsBlank="1" containsNumber="1" containsInteger="1" minValue="962" maxValue="17500"/>
    </cacheField>
    <cacheField name="OPH93" numFmtId="0">
      <sharedItems containsString="0" containsBlank="1" containsNumber="1" containsInteger="1" minValue="2700" maxValue="65842"/>
    </cacheField>
    <cacheField name="PCH" numFmtId="0">
      <sharedItems containsString="0" containsBlank="1" containsNumber="1" containsInteger="1" minValue="2492" maxValue="50665"/>
    </cacheField>
    <cacheField name="Logement Francilien" numFmtId="0">
      <sharedItems containsString="0" containsBlank="1" containsNumber="1" containsInteger="1" minValue="9350" maxValue="45000"/>
    </cacheField>
    <cacheField name="OGIF" numFmtId="0">
      <sharedItems containsString="0" containsBlank="1" containsNumber="1" containsInteger="1" minValue="4900" maxValue="49000"/>
    </cacheField>
    <cacheField name="ICF La Sablière" numFmtId="0">
      <sharedItems containsString="0" containsBlank="1" containsNumber="1" containsInteger="1" minValue="15000" maxValue="64998"/>
    </cacheField>
    <cacheField name="NOVIGERE" numFmtId="0">
      <sharedItems containsString="0" containsBlank="1" containsNumber="1" containsInteger="1" minValue="3146" maxValue="23685"/>
    </cacheField>
    <cacheField name="Maison du CIL" numFmtId="0">
      <sharedItems containsString="0" containsBlank="1" containsNumber="1" containsInteger="1" minValue="8700" maxValue="19677"/>
    </cacheField>
    <cacheField name="ASL d'orgemont" numFmtId="0">
      <sharedItems containsString="0" containsBlank="1" containsNumber="1" containsInteger="1" minValue="105000" maxValue="189000"/>
    </cacheField>
    <cacheField name="OPIEVOY" numFmtId="0">
      <sharedItems containsString="0" containsBlank="1" containsNumber="1" containsInteger="1" minValue="7101" maxValue="40000"/>
    </cacheField>
    <cacheField name="SAIEM" numFmtId="0">
      <sharedItems containsString="0" containsBlank="1" containsNumber="1" containsInteger="1" minValue="4640" maxValue="4640"/>
    </cacheField>
    <cacheField name="OPH Aubervilliers" numFmtId="0">
      <sharedItems containsString="0" containsBlank="1" containsNumber="1" minValue="0" maxValue="75000"/>
    </cacheField>
    <cacheField name="RIVP" numFmtId="0">
      <sharedItems containsString="0" containsBlank="1" containsNumber="1" containsInteger="1" minValue="10000" maxValue="10000"/>
    </cacheField>
    <cacheField name="ADOMA" numFmtId="0">
      <sharedItems containsString="0" containsBlank="1" containsNumber="1" containsInteger="1" minValue="22500" maxValue="22500"/>
    </cacheField>
    <cacheField name="CDC" numFmtId="0">
      <sharedItems containsString="0" containsBlank="1" containsNumber="1" containsInteger="1" minValue="0" maxValue="40000"/>
    </cacheField>
    <cacheField name="CD93" numFmtId="0">
      <sharedItems containsString="0" containsBlank="1" containsNumber="1" containsInteger="1" minValue="0" maxValue="24750"/>
    </cacheField>
    <cacheField name="CRIF" numFmtId="0">
      <sharedItems containsString="0" containsBlank="1" containsNumber="1" containsInteger="1" minValue="0" maxValue="45000"/>
    </cacheField>
    <cacheField name="Europe" numFmtId="0">
      <sharedItems containsString="0" containsBlank="1" containsNumber="1" containsInteger="1" minValue="0" maxValue="19800"/>
    </cacheField>
    <cacheField name="Autres" numFmtId="0">
      <sharedItems containsString="0" containsBlank="1" containsNumber="1" containsInteger="1" minValue="0" maxValue="96500"/>
    </cacheField>
    <cacheField name="ANAH" numFmtId="0">
      <sharedItems containsString="0" containsBlank="1" containsNumber="1" containsInteger="1" minValue="7500" maxValue="90000"/>
    </cacheField>
    <cacheField name="Syndicat Mixte des Réseaux D'énergies Calorifiques" numFmtId="0">
      <sharedItems containsString="0" containsBlank="1" containsNumber="1" containsInteger="1" minValue="10000" maxValue="10000"/>
    </cacheField>
    <cacheField name="SEM PCD" numFmtId="0">
      <sharedItems containsString="0" containsBlank="1" containsNumber="1" containsInteger="1" minValue="5000" maxValue="40000"/>
    </cacheField>
    <cacheField name="ASGO" numFmtId="0">
      <sharedItems containsString="0" containsBlank="1" containsNumber="1" containsInteger="1" minValue="27500" maxValue="40000"/>
    </cacheField>
    <cacheField name="Ville de Pantin " numFmtId="0">
      <sharedItems containsString="0" containsBlank="1" containsNumber="1" containsInteger="1" minValue="8000" maxValue="22500"/>
    </cacheField>
    <cacheField name="Est-Ensemble " numFmtId="0">
      <sharedItems containsString="0" containsBlank="1" containsNumber="1" containsInteger="1" minValue="8000" maxValue="26000"/>
    </cacheField>
    <cacheField name="ADEME" numFmtId="0">
      <sharedItems containsNonDate="0" containsString="0" containsBlank="1"/>
    </cacheField>
    <cacheField name="PIA" numFmtId="0">
      <sharedItems containsString="0" containsBlank="1" containsNumber="1" containsInteger="1" minValue="20000" maxValue="96500"/>
    </cacheField>
    <cacheField name="Date de démarrage (mois et année)" numFmtId="0">
      <sharedItems containsNonDate="0" containsDate="1" containsString="0" containsBlank="1" minDate="2014-11-01T00:00:00" maxDate="2017-06-02T00:00:00"/>
    </cacheField>
    <cacheField name="Durée de l'opération en mois" numFmtId="0">
      <sharedItems containsString="0" containsBlank="1" containsNumber="1" containsInteger="1" minValue="1" maxValue="24"/>
    </cacheField>
    <cacheField name="Nbre de logements" numFmtId="0">
      <sharedItems containsString="0" containsBlank="1" containsNumber="1" containsInteger="1" minValue="0" maxValue="2484"/>
    </cacheField>
    <cacheField name="Nbre de chambres" numFmtId="0">
      <sharedItems containsString="0" containsBlank="1" containsNumber="1" containsInteger="1" minValue="0" maxValue="241"/>
    </cacheField>
    <cacheField name="checkbleu" numFmtId="0">
      <sharedItems containsString="0" containsBlank="1" containsNumber="1" minValue="-1" maxValue="1"/>
    </cacheField>
    <cacheField name="check rouge" numFmtId="164">
      <sharedItems containsString="0" containsBlank="1" containsNumb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3">
  <r>
    <s v="AUBERVILLIERS"/>
    <s v="AU-EMA-01"/>
    <s v="DEF-AU-EMA-01"/>
    <x v="0"/>
    <s v="DDUS"/>
    <s v="QP093028"/>
    <m/>
    <s v="Etude urbaine"/>
    <s v="Etude urbaine Emile Dubois"/>
    <s v="Urbaine"/>
    <s v="Etudes stratégiques"/>
    <s v="Plaine Commune"/>
    <m/>
    <m/>
    <s v="X"/>
    <s v="Objectifs :_x000d__x000a_ _x000d__x000a_- Appropriation des différentes études urbaines existantes_x000d__x000a_- Recollement des grands projets d’aménagement environnants_x000d__x000a_- Intégration des coups partis et invariants du projet urbain_x000d__x000a_- Diagnostic urbain et environnemental_x000d__x000a_- Programmation urbaine et environnementale prenant en compte la co-construction et le volet sécurité_x000d__x000a_- Coordination des différentes études en garantissant la cohérence de la programmation, l’intégration de leurs conclusions et le respect du calendrier_x000d__x000a_- Intégration des conclusions des études techniques menées une fois la programmation urbaine connue avec un possible amendement du projet urbain_x000d__x000a_- Chiffrage par opération et par maître d’ouvrage des propositions de l’étude urbaine afin de constituer une maquette financière_x000d__x000a_- Transcription du projet urbain dans le PLU_x000d__x000a_- Bilan financier et phasage du projet d’aménagement_x000d__x000a_- Réflexion sur la conduite de projet et le mode opératoire pour la phase convention_x000d__x000a_ _x000d__x000a_Etudes préalables :_x000d__x000a_ _x000d__x000a_-Etude urbaine sur Emile Dubois,  Urban Act OPH d'Aubervilliers 2011_x000d__x000a_-Etude urbaine Marches du Fort, Ozone Architectures et Artélia  Ville d’Aubervilliers et OPH d’Aubervilliers 2013_x000d__x000a_-Synthèse des études urbaines réalisées sur le secteur Emile Dubois par Bâtiplaine OPH d’Aubervilliers 2014_x000d__x000a_-Préfiguration d’aménagement urbain, implantation d’un groupe scolaire quartier Emile Dubois Nord, Ozone Architectures et Artélia  Ville d’Aubervilliers et OPH d’Aubervilliers 2014-2015_x000d__x000a_ _x000d__x000a_Carte sur l’emplacement et le nombre de place de stationnements sur espace public Plaine Commune 2015."/>
    <n v="150000"/>
    <n v="180000"/>
    <n v="150000"/>
    <n v="60000"/>
    <s v="Financement ANRU + CDC"/>
    <n v="0"/>
    <n v="37500"/>
    <n v="37500"/>
    <m/>
    <m/>
    <m/>
    <m/>
    <m/>
    <m/>
    <m/>
    <m/>
    <m/>
    <m/>
    <m/>
    <m/>
    <m/>
    <m/>
    <m/>
    <m/>
    <m/>
    <m/>
    <n v="37500"/>
    <m/>
    <m/>
    <n v="15000"/>
    <n v="0"/>
    <n v="0"/>
    <n v="0"/>
    <n v="0"/>
    <m/>
    <m/>
    <m/>
    <m/>
    <m/>
    <m/>
    <m/>
    <m/>
    <d v="2016-03-01T00:00:00"/>
    <n v="16"/>
    <n v="0"/>
    <n v="0"/>
    <n v="0"/>
    <n v="0"/>
  </r>
  <r>
    <s v="AUBERVILLIERS"/>
    <s v="AU-EMA-04"/>
    <s v="DEF-AU-EMA-02"/>
    <x v="0"/>
    <s v="OPH Aubervilliers"/>
    <s v="QP093028"/>
    <s v="AU-EMA-04 / AU-EMA-05 / AU-EMA-06"/>
    <s v="Campagnes d'inspection des réseaux privés"/>
    <s v="Plans et réseaux"/>
    <s v="Technique"/>
    <s v="Espaces extérieurs"/>
    <s v="OPH d'Aubervilliers"/>
    <m/>
    <m/>
    <s v="X"/>
    <s v="Objectifs:_x000d__x000a_Connaître l'état des réseaux privés du site pour chiffrer au mieux leur reprise le cas échéant dans les différentes opérations qui seront inscrites à la convention ANRU."/>
    <n v="100000"/>
    <n v="120000"/>
    <n v="100000"/>
    <n v="50000"/>
    <m/>
    <n v="0"/>
    <n v="0"/>
    <n v="50000"/>
    <m/>
    <m/>
    <m/>
    <m/>
    <m/>
    <m/>
    <m/>
    <m/>
    <m/>
    <m/>
    <m/>
    <m/>
    <m/>
    <m/>
    <m/>
    <m/>
    <m/>
    <m/>
    <n v="50000"/>
    <m/>
    <m/>
    <n v="0"/>
    <n v="0"/>
    <n v="0"/>
    <n v="0"/>
    <n v="0"/>
    <m/>
    <m/>
    <m/>
    <m/>
    <m/>
    <m/>
    <m/>
    <m/>
    <d v="2016-07-01T00:00:00"/>
    <n v="3"/>
    <n v="1576"/>
    <n v="0"/>
    <n v="0"/>
    <n v="0"/>
  </r>
  <r>
    <s v="AUBERVILLIERS"/>
    <s v="AU-EMA-05"/>
    <s v="DEF-AU-EMA-02"/>
    <x v="0"/>
    <s v="OPH Aubervilliers"/>
    <s v="QP093028"/>
    <s v="AU-EMA-04 / AU-EMA-05 / AU-EMA-06"/>
    <s v="Relevé topographique et plan de coordination des réseaux (privés)"/>
    <s v="Plans et réseaux"/>
    <s v="Technique"/>
    <s v="Espaces extérieurs"/>
    <s v="OPH d'Aubervilliers"/>
    <m/>
    <m/>
    <s v="X"/>
    <s v="Objectifs:_x000d__x000a_Compléter, actualiser et unifier sous un même fichier les différents plans topographiques de surfaces disponiblesRéaliser les plans topographiques de surface inexistants._x000d__x000a_Réaliser le plan de coordination des réseaux privés inexistantsEtudes préalables:_x000d__x000a_Plans topographiques de surface d’une partie des secteurs Emile Dubois Nord et Sud et Maladrerie réalisés par l’OPH d’Aubervilliers en 2012-2014"/>
    <n v="20000"/>
    <n v="24000"/>
    <n v="20000"/>
    <n v="10000"/>
    <m/>
    <n v="0"/>
    <n v="0"/>
    <n v="10000"/>
    <m/>
    <m/>
    <m/>
    <m/>
    <m/>
    <m/>
    <m/>
    <m/>
    <m/>
    <m/>
    <m/>
    <m/>
    <m/>
    <m/>
    <m/>
    <m/>
    <m/>
    <m/>
    <n v="10000"/>
    <m/>
    <m/>
    <n v="0"/>
    <n v="0"/>
    <n v="0"/>
    <n v="0"/>
    <n v="0"/>
    <m/>
    <m/>
    <m/>
    <m/>
    <m/>
    <m/>
    <m/>
    <m/>
    <d v="2016-03-16T00:00:00"/>
    <n v="2"/>
    <n v="1576"/>
    <n v="0"/>
    <n v="0"/>
    <n v="0"/>
  </r>
  <r>
    <s v="AUBERVILLIERS"/>
    <s v="AU-EMA-06"/>
    <s v="DEF-AU-EMA-02"/>
    <x v="0"/>
    <s v="OPH Aubervilliers"/>
    <s v="QP093028"/>
    <s v="AU-EMA-04 / AU-EMA-05 / AU-EMA-06"/>
    <s v="Etude sur la capacité de chauffage existant"/>
    <s v="Plans et réseaux"/>
    <s v="Habitat"/>
    <s v="Logement"/>
    <s v="OPH d'Aubervilliers"/>
    <m/>
    <m/>
    <s v="X"/>
    <s v="Objectifs:_x000d__x000a_Dans le cadre de la construction de nouveaux logements, une étude sur la capacité du réseau de chauffage existant à alimenter les nouvelles constructions pourrait être nécessaire."/>
    <n v="5800"/>
    <n v="6960"/>
    <n v="5800"/>
    <n v="2900"/>
    <m/>
    <n v="0"/>
    <n v="0"/>
    <n v="2900"/>
    <m/>
    <m/>
    <m/>
    <m/>
    <m/>
    <m/>
    <m/>
    <m/>
    <m/>
    <m/>
    <m/>
    <m/>
    <m/>
    <m/>
    <m/>
    <m/>
    <m/>
    <m/>
    <n v="2900"/>
    <m/>
    <m/>
    <n v="0"/>
    <n v="0"/>
    <n v="0"/>
    <n v="0"/>
    <n v="0"/>
    <m/>
    <m/>
    <m/>
    <m/>
    <m/>
    <m/>
    <m/>
    <m/>
    <d v="2016-07-01T00:00:00"/>
    <n v="4"/>
    <n v="1576"/>
    <n v="0"/>
    <n v="0"/>
    <n v="0"/>
  </r>
  <r>
    <s v="AUBERVILLIERS"/>
    <s v="AU-EMA-07"/>
    <s v="DEF-AU-EMA-03"/>
    <x v="0"/>
    <s v="OPH Aubervilliers"/>
    <s v="QP093028"/>
    <s v="AU-EMA-07 / AU-EMA-08"/>
    <s v="Etude pollution des futurs espaces privés"/>
    <s v="Sols et espaces extérieurs"/>
    <s v="Technique"/>
    <s v="Espaces extérieurs"/>
    <s v="OPH d'Aubervilliers"/>
    <m/>
    <m/>
    <s v="X"/>
    <s v="Une fois la programmation urbaine connue, connaître  les mesures à prendre sur les espaces à usage privés de l'OPH d'Aubervilliers en matière de dépollution._x000d__x000a_L'objectif est de chiffrer au mieux le coût de cette dépollution dans la maquette financière"/>
    <n v="80000"/>
    <n v="96000"/>
    <n v="80000"/>
    <n v="40000"/>
    <m/>
    <n v="0"/>
    <n v="0"/>
    <n v="40000"/>
    <m/>
    <m/>
    <m/>
    <m/>
    <m/>
    <m/>
    <m/>
    <m/>
    <m/>
    <m/>
    <m/>
    <m/>
    <m/>
    <m/>
    <m/>
    <m/>
    <m/>
    <m/>
    <n v="40000"/>
    <m/>
    <m/>
    <n v="0"/>
    <n v="0"/>
    <n v="0"/>
    <n v="0"/>
    <n v="0"/>
    <m/>
    <m/>
    <m/>
    <m/>
    <m/>
    <m/>
    <m/>
    <m/>
    <d v="2016-05-01T00:00:00"/>
    <n v="3"/>
    <n v="1576"/>
    <n v="0"/>
    <n v="0"/>
    <n v="0"/>
  </r>
  <r>
    <s v="AUBERVILLIERS"/>
    <s v="AU-EMA-08"/>
    <s v="DEF-AU-EMA-03"/>
    <x v="0"/>
    <s v="OPH Aubervilliers"/>
    <s v="QP093028"/>
    <s v="AU-EMA-07 / AU-EMA-08"/>
    <s v="Etudes hydrogéologiques"/>
    <s v="Sols et espaces extérieurs"/>
    <s v="Technique"/>
    <s v="Espaces extérieurs"/>
    <s v="OPH d'Aubervilliers"/>
    <m/>
    <m/>
    <s v="X"/>
    <s v="Objectifs: _x000d__x000a_Une fois la programmation urbaine définie, des études hydrogéologiques devront être menées pour connaître le niveau des plus hautes eaux (NPHE) des parcelles destinées à accueillir des programmes de construction de logement. Etudes prélables:_x000d__x000a_Définition des niveaux des plus hautes eaux dans le cadre de la construction de logements sociaux sur la ZAC Emile Dubois (Marie Curie) – Archambault Conseil 2011"/>
    <n v="70000"/>
    <n v="84000"/>
    <n v="70000"/>
    <n v="35000"/>
    <m/>
    <n v="0"/>
    <n v="0"/>
    <n v="35000"/>
    <m/>
    <m/>
    <m/>
    <m/>
    <m/>
    <m/>
    <m/>
    <m/>
    <m/>
    <m/>
    <m/>
    <m/>
    <m/>
    <m/>
    <m/>
    <m/>
    <m/>
    <m/>
    <n v="35000"/>
    <m/>
    <m/>
    <n v="0"/>
    <n v="0"/>
    <n v="0"/>
    <n v="0"/>
    <n v="0"/>
    <m/>
    <m/>
    <m/>
    <m/>
    <m/>
    <m/>
    <m/>
    <m/>
    <d v="2016-05-01T00:00:00"/>
    <n v="3"/>
    <n v="1576"/>
    <n v="0"/>
    <n v="0"/>
    <n v="0"/>
  </r>
  <r>
    <s v="AUBERVILLIERS"/>
    <s v="AU-EMA-11"/>
    <s v="DEF-AU-EMA-04"/>
    <x v="0"/>
    <m/>
    <s v="QP093028"/>
    <m/>
    <s v="Stratégie sur la copropriété des Joyeux"/>
    <m/>
    <s v="Habitat"/>
    <s v="Logement"/>
    <s v="Plaine Commune"/>
    <m/>
    <s v="X"/>
    <m/>
    <s v="Objectifs :_x000d__x000a_ _x000d__x000a_Dès 2001, la copropriété Les Joyeux est identifiée dans le PLHI de la ville d'Aubervilliers comme nécessitant un Plan de Sauvegarde. Compte-tenu de ses difficultés, la copropriété a été intégrée au dispositif d'OPAH Centre-ville 2003/2006, bien qu'en dehors du périmètre. Il apparaît très rapidement que les difficultés de la copropriété nécessitent un accompagnement très renforcé. L'opérateur préconise, lui aussi, un Plan de Sauvegarde._x000d__x000a_ _x000d__x000a_Dans l'attente d'opportunité pour un accompagnement renforcé de la copropriété, elle a été rattachée par avenant en 2014 à l'OPAH-RU du Centre-Ville (2012-2016). La copropriété fait donc l'objet d'une veille et d'un suivi mais aucun accompagnement n'est mis en œuvre à ce jour. _x000d__x000a_ _x000d__x000a_Durant la phase du protocole de préfiguration, la copropriété Les Joyeux fera donc l’objet d’une « étude-action » sous la forme d’une phase d’élaboration de Plan de Sauvegarde. Il s’agira d’apporter un accompagnement renforcé à la copropriété face à ses nombreuses difficultés. Cela se traduira notamment par l’accompagnement technique et administratif dans la réalisation des travaux d’urgence, la mise en place de commissions thématiques (travaux, relogement,…) ou encore l’accompagnement social des ménages._x000d__x000a_ _x000d__x000a_Ces premières actions menées viendront alimenter le diagnostic approfondi de la copropriété qui consistera à déterminer la capacité de la copropriété à se maintenir et bénéficier d’un Plan de Sauvegarde ou à défaut de maintien d’envisager des alternatives.  _x000d_"/>
    <n v="99960"/>
    <n v="119952"/>
    <n v="99960"/>
    <n v="0"/>
    <s v="Plan de financement prévisionnel à 83 300€ (CDC/PLCO 10%, ANAH 50% et CRIF 24 990 €)."/>
    <n v="0"/>
    <n v="19980"/>
    <n v="0"/>
    <m/>
    <m/>
    <m/>
    <m/>
    <m/>
    <m/>
    <m/>
    <m/>
    <m/>
    <m/>
    <m/>
    <m/>
    <m/>
    <m/>
    <m/>
    <m/>
    <m/>
    <m/>
    <n v="0"/>
    <m/>
    <m/>
    <n v="8331"/>
    <n v="0"/>
    <n v="21669"/>
    <n v="0"/>
    <n v="49980"/>
    <n v="49980"/>
    <m/>
    <m/>
    <m/>
    <m/>
    <m/>
    <m/>
    <m/>
    <d v="2016-03-16T00:00:00"/>
    <n v="16"/>
    <n v="80"/>
    <n v="0"/>
    <n v="0"/>
    <n v="0"/>
  </r>
  <r>
    <s v="AUBERVILLIERS"/>
    <s v="AU-EMA-14"/>
    <s v="DEF-AU-EMA-05"/>
    <x v="0"/>
    <m/>
    <s v="QP093028"/>
    <m/>
    <s v="Diagnostic patrimonial historique"/>
    <m/>
    <s v="Habitat"/>
    <s v="Logement"/>
    <s v="OPH d'Aubervilliers"/>
    <m/>
    <m/>
    <s v="X"/>
    <s v="Objectifs:_x000d__x000a_L'Etat (DRIHL et ABF) demande à l'OPH de mener une étude patrimoniale historique en parallèle des études techniques sur le bâti._x000d__x000a_Un travail de définition plus précise de cette commande est en cours avec l'ABF et permettra d’élaborer le cahier des charges précis de cette étude._x000d__x000a_ _x000d__x000a_Etudes préalables:_x000d__x000a_- Diagnostic bâti et avant-projet sommaire sur la réhabilitation de l’Atelier Gorka Piqueras 2012_x000d__x000a_- Résidentialisation îlot Daquin – Virtuel Architecture 2012_x000d__x000a_- Etude faisabilité GAZ – Réhabilitation de la Maladrerie - GRDF 2013_x000d__x000a_- Réhabilitation îlot Daquin – Virtuel Architecture 2014_x000d__x000a_- Diagnostic occupation sociale du parc de l’OPH – Cabinet Espacité 2014_x000d__x000a_- Marché à bon de commande réfection étanchéité toitures-terrasses (80) Maladrerie septembre 2015"/>
    <n v="50000"/>
    <n v="60000"/>
    <n v="50000"/>
    <n v="25000"/>
    <m/>
    <n v="0"/>
    <n v="0"/>
    <n v="25000"/>
    <m/>
    <m/>
    <m/>
    <m/>
    <m/>
    <m/>
    <m/>
    <m/>
    <m/>
    <m/>
    <m/>
    <m/>
    <m/>
    <m/>
    <m/>
    <m/>
    <m/>
    <m/>
    <n v="25000"/>
    <m/>
    <m/>
    <n v="0"/>
    <n v="0"/>
    <n v="0"/>
    <n v="0"/>
    <n v="0"/>
    <m/>
    <m/>
    <m/>
    <m/>
    <m/>
    <m/>
    <m/>
    <m/>
    <d v="2016-03-16T00:00:00"/>
    <n v="5"/>
    <n v="893"/>
    <n v="0"/>
    <n v="0"/>
    <n v="0"/>
  </r>
  <r>
    <s v="AUBERVILLIERS"/>
    <s v="AU-EMA-15"/>
    <s v="DEF-AU-EMA-06"/>
    <x v="0"/>
    <m/>
    <s v="QP093028"/>
    <m/>
    <s v="Mission de maîtrise d'œuvre : élaboration du programme de construction"/>
    <m/>
    <s v="Urbaine"/>
    <s v="Logement"/>
    <s v="OPH d'Aubervilliers"/>
    <m/>
    <m/>
    <s v="X"/>
    <s v="Objectifs:_x000d__x000a_ _x000d__x000a_Dans le cadre du NPRU, des réhabilitations-restructurations lourdes très complexes à mener en site occupé sont à prévoir (Maladrerie par exemple).Par ailleurs, des démolitions pourraient être envisagées notamment dans le cadre de l’étude urbaine globale pilotée par Plaine Commune dans le but de relier le Fort d’Aubervilliers au secteur Emile Dubois – Maladrerie._x000d__x000a_ _x000d__x000a_Afin d’anticiper les relogements à effectuer parallèlement à ces interventions (relogements provisoires ou définitifs) et de permettre un maximum de relogements sur site,  il semble nécessaire que de nouveaux logements soient livrés au moment où débuteront ces réhabilitations et/ou démolitions. Plusieurs terrains appartenant à l’OPH, et pour lesquels le foncier est déjà libéré, ont été identifiés. Ces derniers pourraient permettre de mener à bien cet objectif que se sont fixés l’OPH et ses partenaires (Ville et Plaine Commune). Afin de pouvoir calibrer le nombre de logements pouvant être construits et à quel coût, une assistance à maîtrise d’ouvrage sera missionnée par l’OPH d’Aubervilliers durant la phase de préfiguration du NPRU._x000d__x000a_ _x000d__x000a_Etudes préalables:_x000d__x000a_ _x000d__x000a_- Etude géomètre (relevés des façades et toitures) sur les bâtiments d’Emile Dubois 2015_x000d__x000a_- AMO Plan Stratégique de Patrimoine – Groupement Espacité / PMCR / Terra Conseil 2015-2016_x000d__x000a_- AMO sur la programmation de nouveaux logements – Groupement O’zone / Artelia 2015"/>
    <n v="50000"/>
    <n v="60000"/>
    <n v="50000"/>
    <n v="25000"/>
    <m/>
    <n v="0"/>
    <n v="0"/>
    <n v="25000"/>
    <m/>
    <m/>
    <m/>
    <m/>
    <m/>
    <m/>
    <m/>
    <m/>
    <m/>
    <m/>
    <m/>
    <m/>
    <m/>
    <m/>
    <m/>
    <m/>
    <m/>
    <m/>
    <n v="25000"/>
    <m/>
    <m/>
    <n v="0"/>
    <n v="0"/>
    <n v="0"/>
    <n v="0"/>
    <n v="0"/>
    <m/>
    <m/>
    <m/>
    <m/>
    <m/>
    <m/>
    <m/>
    <m/>
    <d v="2016-03-16T00:00:00"/>
    <n v="15"/>
    <n v="0"/>
    <n v="0"/>
    <n v="0"/>
    <n v="0"/>
  </r>
  <r>
    <s v="AUBERVILLIERS"/>
    <s v="AU-EMA-17"/>
    <s v="DEF-AU-EMA-07"/>
    <x v="0"/>
    <m/>
    <s v="QP093028"/>
    <m/>
    <s v="Etude géotechnique sur les espaces accueillant les futurs logements sociaux"/>
    <m/>
    <s v="Technique"/>
    <s v="Espaces extérieurs"/>
    <s v="OPH d'Aubervilliers"/>
    <m/>
    <m/>
    <s v="X"/>
    <s v="Une fois la programmation urbaine connue, connaître  la nature des sols sur les espaces qui sont ou ont vocation à devenir des logements de l'OPH d'Aubervilliers."/>
    <n v="120000"/>
    <n v="144000"/>
    <n v="120000"/>
    <n v="60000"/>
    <m/>
    <n v="0"/>
    <n v="0"/>
    <n v="60000"/>
    <m/>
    <m/>
    <m/>
    <m/>
    <m/>
    <m/>
    <m/>
    <m/>
    <m/>
    <m/>
    <m/>
    <m/>
    <m/>
    <m/>
    <m/>
    <m/>
    <m/>
    <m/>
    <n v="60000"/>
    <m/>
    <m/>
    <n v="0"/>
    <n v="0"/>
    <n v="0"/>
    <n v="0"/>
    <n v="0"/>
    <m/>
    <m/>
    <m/>
    <m/>
    <m/>
    <m/>
    <m/>
    <m/>
    <d v="2016-05-01T00:00:00"/>
    <n v="3"/>
    <n v="0"/>
    <n v="0"/>
    <n v="0"/>
    <n v="0"/>
  </r>
  <r>
    <s v="AUBERVILLIERS"/>
    <s v="AU-EMA-18"/>
    <s v="DEF-AU-EMA-08"/>
    <x v="0"/>
    <m/>
    <s v="QP093028"/>
    <m/>
    <s v="Diagnostic précarité énergétique"/>
    <m/>
    <s v="Habitat"/>
    <s v="Logement"/>
    <s v="OPH d'Aubervilliers"/>
    <m/>
    <m/>
    <s v="X"/>
    <s v="La Maladrerie est un ensemble d’habitation emblématique construit en 9 tranches sur une dizaine d’années, dont la conception a été valorisée par le label patrimoine du 20e siècle. Il connaît néanmoins des pathologies lourdes et cause des troubles importants auprès de ses occupants (infiltrations, passoire thermique, détérioration des bétons) qui rendent nécessaire sa réhabilitation. L’OPH et ses partenaires locaux s’attèlent depuis plusieurs années à établir la bonne manière d’intervenir et ont buté à plusieurs reprises sur un constat : il n’est pas financièrement envisageable d’intervenir sur toutes les pathologies et sur toutes les tranches de la même manière._x000d__x000a_ _x000d__x000a_Le caractère stratégique de cette étude s’explique par le souhait de dépasser cette difficulté et donc de définir la nature et la localisation des interventions à prévoir en phase convention, tranche par tranche.  _x000d__x000a_ _x000d__x000a_La principale difficulté réside dans la méconnaissance des usages et des consommations des habitants de la Maladrerie. L’exemple le plus criant est celui des consommations d’électricité lorsque le chauffage repose sur un système électrique individuel que nous ne sommes pas en mesure de quantifier. Nous avons des informations sur les caractéristiques techniques des logements et leurs performances énergétiques. Cependant, nous ignorons les conséquences en matière de confort et de budget pour nos locataires dans la mesure où ceux-ci contractent leur abonnement auprès d’un opérateur sans passer par l’intermédiaire de l’OPH. Dans un système de chauffage collectif le problème ne se pose pas de la même manière puisque l’OPH paye le fournisseur et le re-facture aux locataires ; la visibilité sur les consommations est bien plus aisée. _x000d__x000a_Par le biais de notre service social, qui traite les situations de précarité énergétique, nous avons quelques retours qui nous indiquent la gravité de ce que peut être la situation dans certains logements, mais ceux-ci ne nous permettent pas d’en tirer des conséquences générales sur l’usage dans chacune des tranches de la Maladrerie. _x000d__x000a_ _x000d__x000a_Aussi, l’idée de cette étude est de réussir à objectiver des données sociales et d’occupation qui puissent venir en regard du diagnostic bâti traditionnel pour nourrir et compléter ce dernier. _x000d__x000a_L’étude permettrait d’obtenir, en premier lieu, des données telles que : _x000d__x000a_Le niveau des consommations énergétiques, notamment électriques _x000d__x000a_Le montant des factures correspondant à ces consommations et donc le niveau de charges global par foyer _x000d__x000a_Les conditions de vie et le niveau de confort ressenti"/>
    <n v="50000"/>
    <n v="60000"/>
    <n v="50000"/>
    <n v="25000"/>
    <m/>
    <n v="0"/>
    <n v="0"/>
    <n v="25000"/>
    <m/>
    <m/>
    <m/>
    <m/>
    <m/>
    <m/>
    <m/>
    <m/>
    <m/>
    <m/>
    <m/>
    <m/>
    <m/>
    <m/>
    <m/>
    <m/>
    <m/>
    <m/>
    <n v="25000"/>
    <m/>
    <m/>
    <n v="0"/>
    <n v="0"/>
    <n v="0"/>
    <n v="0"/>
    <n v="0"/>
    <m/>
    <m/>
    <m/>
    <m/>
    <m/>
    <m/>
    <m/>
    <m/>
    <d v="2016-03-07T00:00:00"/>
    <n v="16"/>
    <n v="893"/>
    <n v="0"/>
    <n v="0"/>
    <n v="0"/>
  </r>
  <r>
    <s v="AUBERVILLIERS"/>
    <s v="AU-EMA-19"/>
    <s v="DEF-AU-EMA-09"/>
    <x v="0"/>
    <m/>
    <s v="QP093028"/>
    <m/>
    <s v="AMO Co-construction"/>
    <m/>
    <s v="Accompagnement"/>
    <s v="Accompagnement"/>
    <s v="Ville d'Aubervilliers"/>
    <m/>
    <s v="X"/>
    <m/>
    <s v="Objectifs :_x000d__x000a_ _x000d__x000a_Organisation d'ateliers avec les habitants, associations, acteurs du quartier sur la définition du programme de NPNRU._x000d__x000a_Formation des habitants sur les enjeux des études et d'un projet de rénovation urbaine."/>
    <n v="66668"/>
    <n v="80001.600000000006"/>
    <n v="66668"/>
    <n v="33334"/>
    <m/>
    <n v="16667"/>
    <n v="8000.16"/>
    <n v="8666.84"/>
    <m/>
    <m/>
    <m/>
    <m/>
    <m/>
    <m/>
    <m/>
    <m/>
    <m/>
    <m/>
    <m/>
    <m/>
    <m/>
    <m/>
    <m/>
    <m/>
    <m/>
    <m/>
    <n v="8666.84"/>
    <m/>
    <m/>
    <n v="0"/>
    <n v="0"/>
    <n v="0"/>
    <n v="0"/>
    <n v="0"/>
    <m/>
    <m/>
    <m/>
    <m/>
    <m/>
    <m/>
    <m/>
    <m/>
    <d v="2016-05-01T00:00:00"/>
    <n v="16"/>
    <n v="0"/>
    <n v="0"/>
    <n v="0"/>
    <n v="0"/>
  </r>
  <r>
    <s v="AUBERVILLIERS"/>
    <s v="AU-EMA-20"/>
    <s v="DEF-AU-EMA-10"/>
    <x v="0"/>
    <m/>
    <s v="QP093028"/>
    <m/>
    <s v="Etude urbaine de redéfinition des espaces extérieurs des sites situés entre le 152 avenue Henri Barbusse et le 55 rue de la motte à Aubervilliers"/>
    <m/>
    <s v="Urbaine"/>
    <s v="Etudes stratégiques"/>
    <s v="RIVP"/>
    <m/>
    <m/>
    <s v="X"/>
    <s v="Objectifs:_x000d__x000a_- redonner  un  sentiment de sécurité aux habitants _x000d__x000a_- ouvrir la résidence sur la ville _x000d__x000a_- améliorer l’esthétisme des espaces extérieurs_x000d__x000a_- mettre en place un contrôle d’accès performant_x000d__x000a_- proposer un shéma de rénovation des espaces extérieurs de circulation (piéton, voiture) _x000d__x000a_- reconvertir certains espaces délaissés (aire de jeux,  friches, …)_x000d__x000a_- améliorer les conditions de travail des gardiens et l’accessibilité du site _x000d__x000a_ _x000d__x000a_Etudes préalables:_x000d__x000a_- Concertation menée avec les locataires en 2014"/>
    <n v="20000"/>
    <n v="24000"/>
    <n v="20000"/>
    <n v="10000"/>
    <s v="sous réserve que la RIVP puisse être inclue ds le protocole"/>
    <n v="0"/>
    <n v="0"/>
    <n v="10000"/>
    <m/>
    <m/>
    <m/>
    <m/>
    <m/>
    <m/>
    <m/>
    <m/>
    <m/>
    <m/>
    <m/>
    <m/>
    <m/>
    <m/>
    <m/>
    <m/>
    <m/>
    <m/>
    <m/>
    <n v="10000"/>
    <m/>
    <n v="0"/>
    <n v="0"/>
    <n v="0"/>
    <n v="0"/>
    <n v="0"/>
    <m/>
    <m/>
    <m/>
    <m/>
    <m/>
    <m/>
    <m/>
    <m/>
    <d v="2016-03-07T00:00:00"/>
    <n v="8"/>
    <n v="364"/>
    <n v="0"/>
    <n v="0"/>
    <n v="0"/>
  </r>
  <r>
    <s v="AUBERVILLIERS"/>
    <s v="AU-EMA-21"/>
    <s v="DEF-AU-EMA-11"/>
    <x v="0"/>
    <m/>
    <s v="QP093028"/>
    <m/>
    <s v="Etude en vue de la démolition reconstruction du foyer de travailleurs migrants situé rue de l'Abeille"/>
    <m/>
    <s v="Habitat"/>
    <s v="Logement"/>
    <s v="Adoma"/>
    <m/>
    <m/>
    <s v="X"/>
    <s v="Etude en vue de la démolition reconstruction du foyer de travailleurs migrants comprenant ( une assistance à maîtrise d'ouvrage, des diagnostics techniques et des honoraires de maîtrises d'œuvre). L'objectif à terme est de démolir de manière phasée 241 chambres et de reconstituer 241 studios sur le foncier disponible tout en effectuant une cession du foncier restant, en vue du projet restant à déterminer dans le cadre de l'étude urbaine notamment."/>
    <n v="45000"/>
    <n v="54000"/>
    <n v="45000"/>
    <n v="22500"/>
    <s v="Financement ANRU et ADOMA"/>
    <n v="0"/>
    <n v="0"/>
    <n v="22500"/>
    <m/>
    <m/>
    <m/>
    <m/>
    <m/>
    <m/>
    <m/>
    <m/>
    <m/>
    <m/>
    <m/>
    <m/>
    <m/>
    <m/>
    <m/>
    <m/>
    <m/>
    <m/>
    <m/>
    <m/>
    <n v="22500"/>
    <n v="0"/>
    <n v="0"/>
    <n v="0"/>
    <n v="0"/>
    <n v="0"/>
    <m/>
    <m/>
    <m/>
    <m/>
    <m/>
    <m/>
    <m/>
    <m/>
    <d v="2016-03-01T00:00:00"/>
    <n v="12"/>
    <n v="0"/>
    <n v="241"/>
    <n v="0"/>
    <n v="0"/>
  </r>
  <r>
    <s v="AUBERVILLIERS"/>
    <s v="AU-EMA-02"/>
    <s v="DEF-AU-TRANS-01"/>
    <x v="1"/>
    <m/>
    <s v="QP093028"/>
    <m/>
    <s v="Etude de programmation et de restructuration d'équipements (EMA et V4C)"/>
    <m/>
    <s v="Urbaine"/>
    <s v="Equipements"/>
    <s v="Ville d'Aubervilliers"/>
    <m/>
    <m/>
    <s v="X"/>
    <s v="Objectifs:_x000d__x000a_- connaissance plus fine de l’offre d’équipements et des publics concernés,_x000d__x000a_- contribution au repositionnement de la Commune dans la communauté d’agglomération Plaine Commune et dans le CDT du territoire de la culture et de la création par l’émergence d’équipements à fort rayonnement_x000d__x000a_- aide à la définition et à la traduction de politiques publiques répondant, de façon adaptée (développer la polyvalence des équipements, mutualisation des services au sein d’équipements et évolution et mise aux normes des équipements existants), aux attentes actuelles et futures, en tenant compte des contraintes financières de la Ville._x000d__x000a_- prévision des coûts de gestion et de fonctionnement des équipements._x000d__x000a_- l’accompagnement plus précis des secteurs d’aménagement futur et en renouvellement urbain_x000d__x000a_ _x000d__x000a_Etudes préalables:_x000d__x000a_- Etude de faisabilité pour l’aménagement d’un pôle culturel et citoyen 2007_x000d__x000a_- Diagnostic interne sur l’état des équipements existants et les besoins de création et réhabilitation 2015"/>
    <n v="83334"/>
    <n v="100000.8"/>
    <n v="83334"/>
    <n v="27500.22"/>
    <s v="étude globale sur les équipements de la ville avec zoom sur 2 secteurs NPNRU _x000a_ligne commune avec le protocole villette quatre chemins"/>
    <n v="55833.78"/>
    <n v="0"/>
    <n v="0"/>
    <m/>
    <m/>
    <m/>
    <m/>
    <m/>
    <m/>
    <m/>
    <m/>
    <m/>
    <m/>
    <m/>
    <m/>
    <m/>
    <m/>
    <m/>
    <m/>
    <m/>
    <m/>
    <n v="0"/>
    <m/>
    <m/>
    <n v="0"/>
    <n v="0"/>
    <n v="0"/>
    <n v="0"/>
    <n v="0"/>
    <m/>
    <m/>
    <m/>
    <m/>
    <m/>
    <m/>
    <m/>
    <m/>
    <d v="2016-03-16T00:00:00"/>
    <n v="7"/>
    <n v="0"/>
    <n v="0"/>
    <n v="0"/>
    <n v="0"/>
  </r>
  <r>
    <s v="AUBERVILLIERS"/>
    <s v="AU-EMA-03"/>
    <s v="DEF-AU-TRANS-02"/>
    <x v="1"/>
    <m/>
    <s v="QP093028"/>
    <m/>
    <s v="Etude géomètre locaux commerciaux (EDM et V4C)"/>
    <m/>
    <s v="Technique"/>
    <s v="Equipements"/>
    <s v="OPH d'Aubervilliers"/>
    <m/>
    <m/>
    <s v="X"/>
    <s v="Objectifs: _x000d__x000a_Propriétaire de plusieurs locaux commerciaux ou d’activité sur les deux secteurs, l’OPH d’Aubervilliers doit affiner la connaissance de ce patrimoine afin de contribuer au mieux à la réflexion menée par Plaine Commune et la Ville sur les potentiels de développement économique et d’implantation d’activités du périmètre retenu._x000d__x000a_Une mission de géomètre sera donc nécessaire(mise à jour des surfaces et des niveaux de loyer en conformité avec la révision de la valeur locative, réalisation de plans, etc.)."/>
    <n v="20000"/>
    <n v="24000"/>
    <n v="20000"/>
    <n v="10000"/>
    <m/>
    <n v="0"/>
    <n v="0"/>
    <n v="10000"/>
    <m/>
    <m/>
    <m/>
    <m/>
    <m/>
    <m/>
    <m/>
    <m/>
    <m/>
    <m/>
    <m/>
    <m/>
    <m/>
    <m/>
    <m/>
    <m/>
    <m/>
    <m/>
    <n v="10000"/>
    <m/>
    <m/>
    <n v="0"/>
    <n v="0"/>
    <n v="0"/>
    <n v="0"/>
    <n v="0"/>
    <m/>
    <m/>
    <m/>
    <m/>
    <m/>
    <m/>
    <m/>
    <m/>
    <d v="2016-03-16T00:00:00"/>
    <n v="2"/>
    <n v="0"/>
    <n v="0"/>
    <n v="0"/>
    <n v="0"/>
  </r>
  <r>
    <s v="AUBERVILLIERS"/>
    <s v="AU-EMA-09"/>
    <s v="DEF-AU-TRANS-03"/>
    <x v="1"/>
    <m/>
    <s v="QP093028"/>
    <m/>
    <s v="Etude pollution des futurs espaces destinés aux équipements"/>
    <m/>
    <s v="Technique"/>
    <s v="Equipements"/>
    <s v="Ville d'Aubervilliers"/>
    <m/>
    <m/>
    <s v="X"/>
    <s v="Objectifs:_x000d__x000a_- Une fois la programmation urbaine connue, connaître  les mesures à prendre concernant le sol sur les espaces qui sont ou ont vocation à devenir des équipements. _x000d__x000a_L'objectif est de chiffrer au mieux le coût de cette dépollution dans la maquette financière_x000d__x000a_ _x000d__x000a_Etudes préalables:_x000d__x000a_- Diagnostic pollution sur une parcelle d’Emile Dubois Nord réalisé par la Ville d’Aubervilliers en 2014"/>
    <n v="40000"/>
    <n v="48000"/>
    <n v="40000"/>
    <n v="20000"/>
    <m/>
    <n v="20000"/>
    <n v="0"/>
    <n v="0"/>
    <m/>
    <m/>
    <m/>
    <m/>
    <m/>
    <m/>
    <m/>
    <m/>
    <m/>
    <m/>
    <m/>
    <m/>
    <m/>
    <m/>
    <m/>
    <m/>
    <m/>
    <m/>
    <n v="0"/>
    <m/>
    <m/>
    <n v="0"/>
    <n v="0"/>
    <n v="0"/>
    <n v="0"/>
    <n v="0"/>
    <m/>
    <m/>
    <m/>
    <m/>
    <m/>
    <m/>
    <m/>
    <m/>
    <d v="2016-05-01T00:00:00"/>
    <n v="3"/>
    <n v="0"/>
    <n v="0"/>
    <n v="0"/>
    <n v="0"/>
  </r>
  <r>
    <s v="AUBERVILLIERS"/>
    <s v="AU-EMA-10"/>
    <s v="DEF-AU-TRANS-04"/>
    <x v="1"/>
    <m/>
    <s v="QP093028"/>
    <m/>
    <s v="Etude géotechnique sur les espaces de futurs équipements"/>
    <m/>
    <s v="Technique"/>
    <s v="Equipements"/>
    <s v="Ville d'Aubervilliers"/>
    <m/>
    <m/>
    <s v="X"/>
    <s v="Objectifs:_x000d__x000a_Une fois la programmation urbaine connue, connaître  les mesures à prendre concernant le sol sur les espaces qui sont ou ont vocation à devenir des équipements._x000d__x000a_L'objectif est de chiffrer au mieux le coût des mesures concernant les sols dans la maquette financière._x000d__x000a_ _x000d__x000a_Etudes préalables:_x000d__x000a_- Etude géotechnique préalable réalisée sur une parcelle d’Emile Dubois Nord en 2014 par la Ville d’Aubervilliers"/>
    <n v="30000"/>
    <n v="36000"/>
    <n v="30000"/>
    <n v="15000"/>
    <m/>
    <n v="15000"/>
    <n v="0"/>
    <n v="0"/>
    <m/>
    <m/>
    <m/>
    <m/>
    <m/>
    <m/>
    <m/>
    <m/>
    <m/>
    <m/>
    <m/>
    <m/>
    <m/>
    <m/>
    <m/>
    <m/>
    <m/>
    <m/>
    <n v="0"/>
    <m/>
    <m/>
    <n v="0"/>
    <n v="0"/>
    <n v="0"/>
    <n v="0"/>
    <n v="0"/>
    <m/>
    <m/>
    <m/>
    <m/>
    <m/>
    <m/>
    <m/>
    <m/>
    <d v="2016-03-16T00:00:00"/>
    <n v="3"/>
    <n v="0"/>
    <n v="0"/>
    <n v="0"/>
    <n v="0"/>
  </r>
  <r>
    <s v="AUBERVILLIERS"/>
    <s v="AU-EMA-12"/>
    <s v="DEF-AU-TRANS-06"/>
    <x v="1"/>
    <s v="OPH Aubervilliers"/>
    <s v="QP093028"/>
    <s v="AU-EMA-12 / AU-EMA-13 / AU-V4C-11"/>
    <s v="Diagnostic bâti Emile Dubois Nord et Sud"/>
    <s v="Etudes bâti"/>
    <s v="Habitat"/>
    <s v="Logement"/>
    <s v="OPH d'Aubervilliers"/>
    <m/>
    <m/>
    <s v="X"/>
    <s v="Objectifs:_x000d__x000a_Dans le cadre de sa stratégie patrimoniale, l’OPH d’Aubervilliers a lancé, en 2015, une mission d’assistance à maîtrise d’ouvrage afin d’établir un diagnostic de l’état du parc existant et de définir les priorités en termes d’interventions techniques sur le bâti. Dans le cas où ce Plan Stratégique de Patrimoine désigne les bâtiments présents sur le secteur comme étant prioritaires à rénover (voire démolir), il est prévu de lancer des études techniques complémentaires qui permettront d’affiner les programmes de travaux à lancer ainsi que leur chiffrage._x000d__x000a_Etudes préalables:_x000d__x000a_- Etude géomètre (relevés des façades et toitures) sur les bâtiments d’Emile Dubois 2015_x000d__x000a_- AMO Plan Stratégique de Patrimoine – Groupement Espacité / PMCR / Terra Conseil 2015-2016"/>
    <n v="70000"/>
    <n v="84000"/>
    <n v="70000"/>
    <n v="35000"/>
    <m/>
    <n v="0"/>
    <n v="0"/>
    <n v="35000"/>
    <m/>
    <m/>
    <m/>
    <m/>
    <m/>
    <m/>
    <m/>
    <m/>
    <m/>
    <m/>
    <m/>
    <m/>
    <m/>
    <m/>
    <m/>
    <m/>
    <m/>
    <m/>
    <n v="35000"/>
    <m/>
    <m/>
    <n v="0"/>
    <n v="0"/>
    <n v="0"/>
    <n v="0"/>
    <n v="0"/>
    <m/>
    <m/>
    <m/>
    <m/>
    <m/>
    <m/>
    <m/>
    <m/>
    <d v="2016-03-16T00:00:00"/>
    <n v="8"/>
    <n v="683"/>
    <n v="0"/>
    <n v="0"/>
    <n v="0"/>
  </r>
  <r>
    <s v="AUBERVILLIERS"/>
    <s v="AU-EMA-13"/>
    <s v="DEF-AU-TRANS-06"/>
    <x v="1"/>
    <s v="OPH Aubervilliers"/>
    <s v="QP093028"/>
    <s v="AU-EMA-12 / AU-EMA-13 / AU-V4C-11"/>
    <s v="Relevés des façades et toitures Maladrerie"/>
    <s v="Etudes bâti"/>
    <s v="Habitat"/>
    <s v="Logement"/>
    <s v="OPH d'Aubervilliers"/>
    <m/>
    <m/>
    <s v="X"/>
    <s v="Objectifs:_x000d__x000a_Afin d’aider la future maîtrise d’œuvre à chiffrer au mieux les travaux à prévoir sur la Maladrerie, un relevé de géomètre des façades et toitures de cet ensemble complexe est indispensable(complexité architecturale qui rend difficile les projections)._x000d__x000a_ _x000d__x000a_Etudes préalables:_x000d__x000a_Diagnostic bâti de la Maladrerie de l’Atelier Gorka Piqueras de 2012"/>
    <n v="150000"/>
    <n v="180000"/>
    <n v="150000"/>
    <n v="75000"/>
    <m/>
    <n v="0"/>
    <n v="0"/>
    <n v="75000"/>
    <m/>
    <m/>
    <m/>
    <m/>
    <m/>
    <m/>
    <m/>
    <m/>
    <m/>
    <m/>
    <m/>
    <m/>
    <m/>
    <m/>
    <m/>
    <m/>
    <m/>
    <m/>
    <n v="75000"/>
    <m/>
    <m/>
    <n v="0"/>
    <n v="0"/>
    <n v="0"/>
    <n v="0"/>
    <n v="0"/>
    <m/>
    <m/>
    <m/>
    <m/>
    <m/>
    <m/>
    <m/>
    <m/>
    <d v="2016-03-01T00:00:00"/>
    <n v="2"/>
    <n v="893"/>
    <n v="0"/>
    <n v="0"/>
    <n v="0"/>
  </r>
  <r>
    <s v="AUBERVILLIERS"/>
    <s v="AU-V4C-11"/>
    <s v="DEF-AU-TRANS-06"/>
    <x v="1"/>
    <s v="OPH Aubervilliers"/>
    <s v="QP093028"/>
    <s v="AU-EMA-12 / AU-EMA-13 / AU-V4C-11"/>
    <s v="Etude patrimoine bailleur : Diagnostic bâti"/>
    <s v="Etudes bâti"/>
    <s v="Habitat"/>
    <s v="Logement"/>
    <s v="OPH d'Aubervilliers"/>
    <m/>
    <m/>
    <s v="X"/>
    <s v="Diagnostic bâti : Les bâtiments du secteur datent des années 1960 et 1970 (à l’exception du 18 rue André Karman) et sont pour la plupart des tours._x000d__x000a_ _x000d__x000a_Les principaux axes identifiés aujourd'hui sont la vétusté des équipements et la performance énergétique des bâtiments. Appuyé sur l'analyse du Plan Stratégique de Patrimoine qui sera disponible à la fin de l'année 2015, l'OPH étudiera l'opportunité d'effectuer une réhabilitation sur ces ensembles, et aura besoin d'engager des études techniques complémentaires pour déterminer le programme de travaux."/>
    <n v="115000"/>
    <n v="138000"/>
    <n v="115000"/>
    <n v="57500"/>
    <m/>
    <n v="0"/>
    <n v="0"/>
    <n v="57500"/>
    <m/>
    <m/>
    <m/>
    <m/>
    <m/>
    <m/>
    <m/>
    <m/>
    <m/>
    <m/>
    <m/>
    <m/>
    <m/>
    <m/>
    <m/>
    <m/>
    <m/>
    <m/>
    <n v="57500"/>
    <m/>
    <m/>
    <n v="0"/>
    <n v="0"/>
    <n v="0"/>
    <n v="0"/>
    <n v="0"/>
    <m/>
    <m/>
    <m/>
    <m/>
    <m/>
    <m/>
    <m/>
    <m/>
    <d v="2016-04-01T00:00:00"/>
    <n v="6"/>
    <n v="1139"/>
    <n v="0"/>
    <n v="0"/>
    <n v="0"/>
  </r>
  <r>
    <s v="AUBERVILLIERS"/>
    <s v="AU-EMA-16"/>
    <s v="DEF-AU-TRANS-07"/>
    <x v="1"/>
    <m/>
    <s v="QP093028"/>
    <m/>
    <s v="Diagnostic amiante espaces extérieurs, réseaux et bâti EDM et V4C)"/>
    <m/>
    <s v="Habitat"/>
    <s v="Espaces extérieurs"/>
    <s v="OPH d'Aubervilliers"/>
    <m/>
    <m/>
    <s v="X"/>
    <s v="Objectifs:_x000d__x000a_Dans le cadre des futures interventions sur le bâti (réhabilitations, démolitions), et les espaces extérieur de la Dalle Félix Faure, il sera nécessaire d'effectuer ces repérages afin de chiffrer plus précisément le coût des travaux à réaliser et d’éviter les aléas liés à la présence d’amiante._x000d__x000a_ _x000d__x000a_Etudes préalables:_x000d__x000a_- Diagnostic technique amiante parties communes et commerces – BTP Consultants 2005-2006_x000d__x000a_- Repérages amiante démolition barre Grosperrin – Qualiconsult 2013_x000d__x000a_- Diagnostic bâti et avant-projet sommaire sur la réhabilitation de la  de l’Atelier Gorka Piqueras 2012_x000d__x000a_- Travaux réhabilitation îlot Daquin – Virtuel Architecture 2014_x000d__x000a_- Repérages amiante travaux étanchéité toitures-terrasses (80) à la Maladrerie – Qualiconsult Immobilier 2014"/>
    <n v="66000"/>
    <n v="79200"/>
    <n v="66000"/>
    <n v="33000"/>
    <m/>
    <n v="0"/>
    <n v="0"/>
    <n v="33000"/>
    <m/>
    <m/>
    <m/>
    <m/>
    <m/>
    <m/>
    <m/>
    <m/>
    <m/>
    <m/>
    <m/>
    <m/>
    <m/>
    <m/>
    <m/>
    <m/>
    <m/>
    <m/>
    <n v="33000"/>
    <m/>
    <m/>
    <n v="0"/>
    <n v="0"/>
    <n v="0"/>
    <n v="0"/>
    <n v="0"/>
    <m/>
    <m/>
    <m/>
    <m/>
    <m/>
    <m/>
    <m/>
    <m/>
    <d v="2016-07-01T00:00:00"/>
    <n v="3"/>
    <n v="2163"/>
    <n v="0"/>
    <n v="0"/>
    <n v="0"/>
  </r>
  <r>
    <s v="AUBERVILLIERS"/>
    <s v="AU-V4C-01"/>
    <s v="DEF-AU-V4C-01"/>
    <x v="2"/>
    <s v="DDUS"/>
    <s v="QP093028"/>
    <m/>
    <s v="Statégie urbaine intercommunale - Volet urbain/Volet environnemental"/>
    <s v="Statégie urbaine intercommunale"/>
    <s v="Urbaine"/>
    <s v="Etudes stratégiques"/>
    <s v="Plaine Commune / Est Ensemble "/>
    <m/>
    <m/>
    <s v="X"/>
    <s v="Objectifs : _x000d__x000a_Etude urbaine à visées stratégique et opérationnelle qui aura vocation à définir un projet urbain cadre mettant en cohérence le projet de rénovation dans une stratégie globale d’évolution du quartier à court, moyen et long terme._x000d__x000a_L'objectif est de définir un schéma directeur de requalification et d’amélioration du cadre de vie de l’espace urbain et de l’environnement à l’échelle intercommunale et renforcer la mixité de l’habitat et des fonctions urbaines déjà existantes, par une série d’actions à décliner dans chaque ville._x000d__x000a_Cette étude se déclinera en plusieurs volets, autour du volet urbain qui devra mettre en cohérence l’ensemble des volets afin de déboucher sur un programme d’actions lissé sur 5 ans et une maquette financière chiffrée. _x000d__x000a_ _x000d__x000a_Etudes préalables :_x000d__x000a_- Schéma directeur du PRU 1_x000d__x000a_- Etude commerces en vue du PRU 1_x000d__x000a_- Etude sur les dalles : parkings et  faisabilité urbaine,"/>
    <n v="130000"/>
    <n v="156000"/>
    <n v="130000"/>
    <n v="52000"/>
    <s v="Financement ANRU + CDC + CAEE + Ville Pantin ? (répartition à stabiliser)"/>
    <n v="0"/>
    <n v="39000"/>
    <n v="0"/>
    <m/>
    <m/>
    <m/>
    <m/>
    <m/>
    <m/>
    <m/>
    <m/>
    <m/>
    <m/>
    <m/>
    <m/>
    <m/>
    <m/>
    <m/>
    <m/>
    <m/>
    <m/>
    <n v="0"/>
    <m/>
    <m/>
    <n v="13000"/>
    <n v="0"/>
    <n v="0"/>
    <n v="0"/>
    <n v="26000"/>
    <m/>
    <m/>
    <m/>
    <m/>
    <m/>
    <n v="26000"/>
    <m/>
    <m/>
    <d v="2016-05-01T00:00:00"/>
    <n v="12"/>
    <n v="0"/>
    <n v="0"/>
    <n v="0"/>
    <n v="0"/>
  </r>
  <r>
    <s v="AUBERVILLIERS"/>
    <s v="AU-V4C-02"/>
    <s v="DEF-AU-V4C-02"/>
    <x v="2"/>
    <s v="DDUS"/>
    <s v="QP093028"/>
    <m/>
    <s v="Commerces, artisanat, activités : Axe RN2 (intercommunal) / Locaux dalle Villette (commerces et artisanat)"/>
    <s v="Commerces, artisanat, activités : Axe RN2 (intercommunal) / Locaux dalle Villette (commerces et artisanat)"/>
    <s v="Économique"/>
    <s v="Etudes stratégiques"/>
    <s v="Plaine Commune / Est Ensemble "/>
    <m/>
    <m/>
    <s v="X"/>
    <s v="L’étude devra fournir une analyse prospective de développement économique, notamment en termes de développement d’emploi local, et mesurer l’impact de l’environnement sur le développement économique. Elle proposera les pistes de diversification et d'amélioration de l'offre commerciale."/>
    <n v="80000"/>
    <n v="96000"/>
    <n v="80000"/>
    <n v="0"/>
    <s v="financement CDC + CAEE (répartition à stabiliser)"/>
    <n v="0"/>
    <n v="24000"/>
    <n v="0"/>
    <m/>
    <m/>
    <m/>
    <m/>
    <m/>
    <m/>
    <m/>
    <m/>
    <m/>
    <m/>
    <m/>
    <m/>
    <m/>
    <m/>
    <m/>
    <m/>
    <m/>
    <m/>
    <n v="0"/>
    <m/>
    <m/>
    <n v="40000"/>
    <n v="0"/>
    <n v="0"/>
    <n v="0"/>
    <n v="16000"/>
    <m/>
    <m/>
    <m/>
    <m/>
    <n v="8000"/>
    <n v="8000"/>
    <m/>
    <m/>
    <d v="2016-05-01T00:00:00"/>
    <n v="8"/>
    <n v="0"/>
    <n v="0"/>
    <n v="0"/>
    <n v="0"/>
  </r>
  <r>
    <s v="AUBERVILLIERS"/>
    <s v="AU-V4C-04"/>
    <s v="DEF-AU-V4C-03"/>
    <x v="2"/>
    <m/>
    <s v="QP093028"/>
    <m/>
    <s v="Etude pré-opérationnelle sur les copropriété (V4C )"/>
    <m/>
    <s v="Habitat"/>
    <s v="Logement"/>
    <s v="Plaine Commune"/>
    <m/>
    <s v="X"/>
    <m/>
    <s v="Objectifs : _x000d__x000a_- Définition des outils opérationnels en vue du redressement des copropriétés et SCI ayant fait l'objet d'une étude préalable._x000d__x000a_- Concernant les nouvelles adresses repérées par les services de la Ville et de Plaine Commune en 2015: réalisation d’un diagnostic social, technique et de gestion, et préconisations opérationnelles._x000d__x000a_- Sur le secteur « Dalle Villette » : réalisation d'un diagnostic des copropriétés d’habitations en vue d’accompagner les copropriétés d’habitations (optimisation des charges) et de consolider le diagnostic immobilier._x000d__x000a_ _x000d__x000a_Etude préalable sur des copropriétés et SCI dans le diffus dans les secteurs Villette 4 Chemins et Emile Dubois -2014"/>
    <n v="80000"/>
    <n v="96000"/>
    <n v="80000"/>
    <n v="0"/>
    <s v="Participations ANAH + CDC et étude commune aux 2 PRU (V4C et EMA)"/>
    <n v="0"/>
    <n v="20000"/>
    <n v="0"/>
    <m/>
    <m/>
    <m/>
    <m/>
    <m/>
    <m/>
    <m/>
    <m/>
    <m/>
    <m/>
    <m/>
    <m/>
    <m/>
    <m/>
    <m/>
    <m/>
    <m/>
    <m/>
    <n v="0"/>
    <m/>
    <m/>
    <n v="20000"/>
    <n v="0"/>
    <n v="0"/>
    <n v="0"/>
    <n v="40000"/>
    <n v="40000"/>
    <m/>
    <m/>
    <m/>
    <m/>
    <m/>
    <m/>
    <m/>
    <d v="2016-05-01T00:00:00"/>
    <n v="8"/>
    <n v="0"/>
    <n v="0"/>
    <n v="0"/>
    <n v="0"/>
  </r>
  <r>
    <s v="AUBERVILLIERS"/>
    <s v="AU-V4C-05"/>
    <s v="DEF-AU-V4C-04"/>
    <x v="2"/>
    <s v="DDUS"/>
    <s v="QP093028"/>
    <m/>
    <s v="Accompagnement juridique du projet urbain sur la dalle Villette"/>
    <s v="Accompagnement juridique"/>
    <s v="Juridique"/>
    <s v="Logement"/>
    <s v="Plaine Commune"/>
    <m/>
    <m/>
    <s v="X"/>
    <s v="- Sur la base des travaux à réaliser dans le cadre du projet de rénovation :_x000d__x000a_- Identifier les différentes propriétés et copropriétés de l’ensemble immobilier de la Dalle Villette_x000d__x000a_- Identifier les règles de majorité : A qui la collectivité doit-elle acheter les lots ? Quels sont ces interlocuteurs ? Qui peut accorder l’autorisation et le vendre ?"/>
    <n v="48000"/>
    <n v="57600"/>
    <n v="48000"/>
    <n v="24000"/>
    <m/>
    <n v="0"/>
    <n v="24000"/>
    <n v="0"/>
    <m/>
    <m/>
    <m/>
    <m/>
    <m/>
    <m/>
    <m/>
    <m/>
    <m/>
    <m/>
    <m/>
    <m/>
    <m/>
    <m/>
    <m/>
    <m/>
    <m/>
    <m/>
    <n v="0"/>
    <m/>
    <m/>
    <n v="0"/>
    <n v="0"/>
    <n v="0"/>
    <n v="0"/>
    <n v="0"/>
    <m/>
    <m/>
    <m/>
    <m/>
    <m/>
    <m/>
    <m/>
    <m/>
    <d v="2016-09-01T00:00:00"/>
    <n v="6"/>
    <n v="0"/>
    <n v="0"/>
    <n v="0"/>
    <n v="0"/>
  </r>
  <r>
    <s v="AUBERVILLIERS"/>
    <s v="AU-V4C-06"/>
    <s v="DEF-AU-V4C-05"/>
    <x v="2"/>
    <m/>
    <s v="QP093028"/>
    <m/>
    <s v="Etude structure Dalle Félix Faure"/>
    <m/>
    <s v="Technique"/>
    <s v="Logement"/>
    <s v="OPH d'Aubervilliers"/>
    <m/>
    <m/>
    <s v="X"/>
    <s v="Objectifs :_x000d__x000a_-  Relevé des désordres_x000d__x000a_- Définition capacité portante de la dalle_x000d__x000a_- Identification des caractéristiques mécaniques_x000d__x000a_-  Adaptabilité en fonction des aménagements envisagés"/>
    <n v="50000"/>
    <n v="60000"/>
    <n v="50000"/>
    <n v="25000"/>
    <s v="Nouvelle ligne"/>
    <n v="0"/>
    <n v="0"/>
    <n v="25000"/>
    <m/>
    <m/>
    <m/>
    <m/>
    <m/>
    <m/>
    <m/>
    <m/>
    <m/>
    <m/>
    <m/>
    <m/>
    <m/>
    <m/>
    <m/>
    <m/>
    <m/>
    <m/>
    <n v="25000"/>
    <m/>
    <m/>
    <n v="0"/>
    <n v="0"/>
    <n v="0"/>
    <n v="0"/>
    <n v="0"/>
    <m/>
    <m/>
    <m/>
    <m/>
    <m/>
    <m/>
    <m/>
    <m/>
    <d v="2016-03-01T00:00:00"/>
    <n v="3"/>
    <n v="587"/>
    <n v="0"/>
    <n v="0"/>
    <n v="0"/>
  </r>
  <r>
    <s v="AUBERVILLIERS"/>
    <s v="AU-V4C-07"/>
    <s v="DEF-AU-V4C-06"/>
    <x v="2"/>
    <m/>
    <s v="QP093028"/>
    <m/>
    <s v="Clarification statuts ASGO"/>
    <m/>
    <s v="Juridique"/>
    <s v="Logement"/>
    <s v="Association Syndicale de la Goutte d'Or"/>
    <m/>
    <m/>
    <s v="X"/>
    <s v="Objectifs :_x000d__x000a_- Etat des lieux général foncier et juridique de l'ensemble de la dalle Villette et réalisation de plans de géomètre_x000d__x000a_- Préconisations sur le type de structure à mettre en place pour régir l'ensemble immobilier_x000d__x000a_ _x000d__x000a_Etudes préalables :_x000d__x000a_- Etude géomètre relative aux statuts de l'ASGO-2013"/>
    <n v="80000"/>
    <n v="96000"/>
    <n v="80000"/>
    <n v="40000"/>
    <m/>
    <n v="0"/>
    <n v="0"/>
    <n v="0"/>
    <m/>
    <m/>
    <m/>
    <m/>
    <m/>
    <m/>
    <m/>
    <m/>
    <m/>
    <m/>
    <m/>
    <m/>
    <m/>
    <m/>
    <m/>
    <m/>
    <m/>
    <m/>
    <n v="0"/>
    <m/>
    <m/>
    <n v="0"/>
    <n v="0"/>
    <n v="0"/>
    <n v="0"/>
    <n v="40000"/>
    <m/>
    <m/>
    <m/>
    <n v="40000"/>
    <m/>
    <m/>
    <m/>
    <m/>
    <d v="2016-03-01T00:00:00"/>
    <n v="12"/>
    <n v="1668"/>
    <n v="0"/>
    <n v="0"/>
    <n v="0"/>
  </r>
  <r>
    <s v="AUBERVILLIERS"/>
    <s v="AU-V4C-08"/>
    <s v="DEF-AU-V4C-07"/>
    <x v="2"/>
    <m/>
    <s v="QP093028"/>
    <m/>
    <s v="Diagnostic amiante du parking de la dalle villette"/>
    <m/>
    <s v="Technique"/>
    <s v="Espaces extérieurs"/>
    <s v="Association Syndicale de la Goutte d'Or"/>
    <m/>
    <m/>
    <s v="X"/>
    <s v="- mise à jour du DTA Diagnostic technique amiante des parkings_x000d__x000a_ - réalisation  DAAT Diagnostic amiante avant travaux"/>
    <n v="55000"/>
    <n v="66000"/>
    <n v="55000"/>
    <n v="27500"/>
    <m/>
    <n v="0"/>
    <n v="0"/>
    <n v="0"/>
    <m/>
    <m/>
    <m/>
    <m/>
    <m/>
    <m/>
    <m/>
    <m/>
    <m/>
    <m/>
    <m/>
    <m/>
    <m/>
    <m/>
    <m/>
    <m/>
    <m/>
    <m/>
    <n v="0"/>
    <m/>
    <m/>
    <n v="0"/>
    <n v="0"/>
    <n v="0"/>
    <n v="0"/>
    <n v="27500"/>
    <m/>
    <m/>
    <m/>
    <n v="27500"/>
    <m/>
    <m/>
    <m/>
    <m/>
    <d v="2016-03-01T00:00:00"/>
    <n v="2"/>
    <n v="1668"/>
    <n v="0"/>
    <n v="0"/>
    <n v="0"/>
  </r>
  <r>
    <s v="AUBERVILLIERS"/>
    <s v="AU-V4C-10"/>
    <s v="DEF-AU-V4C-08"/>
    <x v="2"/>
    <s v="DDUS"/>
    <s v="QP093028"/>
    <m/>
    <s v="Etude déplacements et circulations"/>
    <s v="Etude déplacements et circulations"/>
    <s v="Technique"/>
    <s v="Etudes stratégiques"/>
    <s v="Pantin / Plaine commune"/>
    <s v="DGST"/>
    <m/>
    <s v="X"/>
    <s v="Etude de stationnement, des déplacements véhicules et piétons, usage des mails piétons"/>
    <n v="0"/>
    <n v="0"/>
    <n v="0"/>
    <n v="0"/>
    <s v="La subvention sera versée à la ville de Pantin qui est coordinatrice du groupement._x000a_90 000HT / 45 000 ANRU "/>
    <n v="0"/>
    <n v="22500"/>
    <n v="0"/>
    <m/>
    <m/>
    <m/>
    <m/>
    <m/>
    <m/>
    <m/>
    <m/>
    <m/>
    <m/>
    <m/>
    <m/>
    <m/>
    <m/>
    <m/>
    <m/>
    <m/>
    <m/>
    <n v="0"/>
    <m/>
    <m/>
    <n v="0"/>
    <n v="0"/>
    <n v="0"/>
    <n v="0"/>
    <n v="22500"/>
    <m/>
    <m/>
    <m/>
    <m/>
    <n v="22500"/>
    <m/>
    <m/>
    <m/>
    <d v="2016-05-01T00:00:00"/>
    <n v="6"/>
    <n v="0"/>
    <n v="0"/>
    <m/>
    <m/>
  </r>
  <r>
    <s v="AUBERVILLIERS"/>
    <s v="AU-V4C-12"/>
    <s v="DEF-AU-V4C-09"/>
    <x v="2"/>
    <m/>
    <s v="QP093028"/>
    <m/>
    <s v="Etudes préalables : réhabilitation extension du centre d'hébergement pour femmes victimes de violences ( Main Tendue)"/>
    <m/>
    <s v="Technique"/>
    <s v="Equipements"/>
    <s v="Main Tendue"/>
    <m/>
    <m/>
    <s v="X"/>
    <s v="Objectifs : _x000d__x000a_- Confirmer la programmation jusqu'à la phase APD_x000d__x000a_- Chiffrage de l'opération_x000d__x000a_- Etudier l'impact de l'opération sur les documents de l'ASL de la dalle Villette_x000d__x000a_ _x000d__x000a_Etudes préalables : _x000d__x000a_-Etude de faisabilité et de programmation_x000d__x000a_-Etude de portance sur  la dalle en vue de l'extension et sur-élèvation"/>
    <n v="103778"/>
    <n v="124533.6"/>
    <n v="103778"/>
    <n v="51889"/>
    <m/>
    <n v="0"/>
    <n v="0"/>
    <n v="51889"/>
    <m/>
    <m/>
    <m/>
    <m/>
    <m/>
    <m/>
    <m/>
    <m/>
    <m/>
    <m/>
    <m/>
    <m/>
    <m/>
    <m/>
    <m/>
    <m/>
    <m/>
    <m/>
    <n v="51889"/>
    <m/>
    <m/>
    <n v="0"/>
    <n v="0"/>
    <n v="0"/>
    <n v="0"/>
    <n v="0"/>
    <m/>
    <m/>
    <m/>
    <m/>
    <m/>
    <m/>
    <m/>
    <m/>
    <d v="2016-03-01T00:00:00"/>
    <n v="6"/>
    <n v="0"/>
    <n v="52"/>
    <n v="0"/>
    <n v="0"/>
  </r>
  <r>
    <s v="AUBERVILLIERS"/>
    <s v="AU-V4C-13"/>
    <s v="DEF-AU-V4C-10"/>
    <x v="2"/>
    <m/>
    <s v="QP093028"/>
    <m/>
    <s v="AMO Coconstruction"/>
    <m/>
    <s v="Accompagnement"/>
    <s v="Accompagnement"/>
    <s v="Ville d'Aubervilliers"/>
    <m/>
    <s v="X"/>
    <m/>
    <s v="Organisation d'ateliers avec les habitants, associations, acteurs du quartier sur la définition du programme de NPNRU._x000d__x000a_Formation des habitants sur les enjeux des études et d'un projet de rénovation urbaine._x000d_"/>
    <n v="66668"/>
    <n v="80001.600000000006"/>
    <n v="66668"/>
    <n v="33334"/>
    <m/>
    <n v="16667"/>
    <n v="8000.16"/>
    <n v="8667"/>
    <m/>
    <m/>
    <m/>
    <m/>
    <m/>
    <m/>
    <m/>
    <m/>
    <m/>
    <m/>
    <m/>
    <m/>
    <m/>
    <m/>
    <m/>
    <m/>
    <m/>
    <m/>
    <n v="8667"/>
    <m/>
    <m/>
    <n v="0"/>
    <n v="0"/>
    <n v="0"/>
    <n v="0"/>
    <n v="0"/>
    <m/>
    <m/>
    <m/>
    <m/>
    <m/>
    <m/>
    <m/>
    <m/>
    <d v="2016-05-01T00:00:00"/>
    <n v="18"/>
    <n v="0"/>
    <n v="0"/>
    <n v="-0.15999999999985448"/>
    <n v="-0.15999999999985448"/>
  </r>
  <r>
    <s v="LA COURNEUVE"/>
    <s v="CO-4MI-01"/>
    <s v="DEF-CO-4MI-01"/>
    <x v="3"/>
    <m/>
    <s v="QP093028"/>
    <s v="CO-4MI-02 / CO-4MI-01 / CO-4MI-25"/>
    <s v="Etude urbaine secteur Vieux Barbusse (financement PNRU)"/>
    <s v="Etudes financées par le PRU (déjà lancées)"/>
    <s v="Urbaine"/>
    <s v="Etudes stratégiques"/>
    <s v="Plaine Commune"/>
    <m/>
    <m/>
    <s v="X"/>
    <s v="Dans le cadre du PNRU des 4000 nord : principe d’aménagements du secteur Vieux Barbusse – Atelier Ruelle &amp; Berim._x000d__x000a_L’étude vise à définir la mutation progressive du secteur Vieux Barbusse : phasage des démolitions/reconstruction et principes d’aménagement qui doivent prendre en compte : _x000d__x000a_Les contraintes liées à la présence du Croult busé. La présence de l’eau est évoquée dans l’aménagement d’un jardin au cœur du quartier très paysagé et permettant la rétention éventuelle d’une partie des eaux pluviales._x000d__x000a_la reconstitution progressive d’une offre de logements diversifiés entre collectifs et maisons de ville de manière à faire le lien entre les ensembles de collectifs (tour et barre des 4000 Nord, co-propriété de La Fontenelle) et le pavillonnaire plus ancien de la cité jardin et des quartiers proches. _x000d__x000a_Les incertitudes quant à la manière dont sera réalisé le franchissement (emprise exacte, axe) et les incidences sur son environnement immédiat (talus, mur de soutènement, ...)._x000d__x000a_Un phasage de démolition / reconstruction très progressif et permettant le fonctionnement des bâtiments le temps de la reconstruction (desserte, sécurité incendie, parking, ...)_x000d__x000a_Une optimisation des modalités d’aménagement en conservant une partie de la desserte, des aires de parking._x000d__x000a_Une attention à l’environnement du Vieux Barbusse et aux continuités avec ce qui l’entoure (possible liaison piétonne avec la cité jardin, prolongement du mail par les passages sous le «Petit Verlaine» pour des liaisons faciles vers les commerces, la Maison pour Tous et le groupe scolaire Robespierre_x000d__x000a_L’étude proposera un plan de composition, un nouveau schéma de circulation, une nouvelle offre de stationnement, le phasage de la mutation progressive (démolition/reconstruction), et le rapport forme urbaine/espace extérieur. _x000d__x000a_Avec le bâtiment petit Verlaine, le secteur d’étude comprend 480 logements (83, 85, 87, 91, 93 Barbusse, bâtiment tour)."/>
    <n v="0"/>
    <n v="0"/>
    <n v="0"/>
    <n v="0"/>
    <m/>
    <n v="0"/>
    <n v="0"/>
    <n v="0"/>
    <m/>
    <m/>
    <m/>
    <m/>
    <m/>
    <m/>
    <m/>
    <m/>
    <m/>
    <m/>
    <m/>
    <m/>
    <m/>
    <m/>
    <m/>
    <m/>
    <m/>
    <m/>
    <m/>
    <m/>
    <m/>
    <n v="0"/>
    <n v="0"/>
    <n v="0"/>
    <n v="0"/>
    <n v="0"/>
    <m/>
    <m/>
    <m/>
    <m/>
    <m/>
    <m/>
    <m/>
    <m/>
    <d v="2016-03-01T00:00:00"/>
    <n v="12"/>
    <n v="254"/>
    <n v="0"/>
    <n v="0"/>
    <n v="0"/>
  </r>
  <r>
    <s v="LA COURNEUVE"/>
    <s v="CO-4MI-02"/>
    <s v="DEF-CO-4MI-01"/>
    <x v="3"/>
    <m/>
    <s v="QP093028"/>
    <s v="CO-4MI-02 / CO-4MI-01 / CO-4MI-25"/>
    <s v="Etude urbaine secteur Robespierre (financement PNRU)"/>
    <s v="Etudes financées par le PRU (déjà lancées)"/>
    <s v="Urbaine"/>
    <s v="Etudes stratégiques"/>
    <s v="Plaine Commune"/>
    <m/>
    <m/>
    <s v="X"/>
    <s v="Dans le cadre du PNRU des 4000 nord : Etude de faisabilité du secteur Robespierre suite à la démolition de la barre – Atelier Ruelle &amp; Berim._x000d__x000a_L’emprise libérée par la démolition des 305 logements de la barre Robespierre permet de repenser la façade de l’avenue Henri Barbusse, l’environnement de la barre 49 Barbusse ainsi que le maillage d’entrée de quartier. _x000d__x000a_Le scénario retenu en 2012 et développé depuis propose le déplacement de terrains de sport et une nouvelle offre de logements. Le déplacement des terrains de sport répond à une logique de recomposition urbaine. Cette offre reste la même que celle qui existe aujourd’hui mais elle est organisée de façon plus compacte. Le nouvel îlot sportif est envisagé comme un espace largement ouvert sur le Mail piéton, en liaison directe avec le groupe scolaire et d’un accès facile depuis la Maison pour Tous. Mis à distance des logements, les terrains de sport représentent désormais moins de nuisances pour les habitants. L’emprise libéré par le déplacement de ces terrains et la démolition de la barre permet la construction d’une nouvelle offre de logement qui vient redonner une façade urbaine au quartier sur l’avenue Henri Barbusse. _x000d__x000a_La requalification de ce secteur inclut l’aménagement de la rue Robespierre ainsi que la résidentialisation du 49 Barbusse. _x000d__x000a_L’étude vise à définir des nouveaux îlots de logements (dont parking semi enterré), des typologies variées, des circulations piétonnes et véhicules ainsi que des surfaces._x000d__x000a_Les réseaux seront étudiés, particulièrement la géothermie."/>
    <n v="0"/>
    <n v="0"/>
    <n v="0"/>
    <n v="0"/>
    <m/>
    <n v="0"/>
    <n v="0"/>
    <n v="0"/>
    <m/>
    <m/>
    <m/>
    <m/>
    <m/>
    <m/>
    <m/>
    <m/>
    <m/>
    <m/>
    <m/>
    <m/>
    <m/>
    <m/>
    <m/>
    <m/>
    <m/>
    <m/>
    <m/>
    <m/>
    <m/>
    <n v="0"/>
    <n v="0"/>
    <n v="0"/>
    <n v="0"/>
    <n v="0"/>
    <m/>
    <m/>
    <m/>
    <m/>
    <m/>
    <m/>
    <m/>
    <m/>
    <d v="2016-03-01T00:00:00"/>
    <n v="12"/>
    <n v="305"/>
    <n v="0"/>
    <n v="0"/>
    <n v="0"/>
  </r>
  <r>
    <s v="LA COURNEUVE"/>
    <s v="CO-4MI-25"/>
    <s v="DEF-CO-4MI-01"/>
    <x v="3"/>
    <m/>
    <s v="QP093028"/>
    <s v="CO-4MI-02 / CO-4MI-01 / CO-4MI-25"/>
    <s v="Etude de programmation urbaine secteur Mail de Fontenay (financement PNRU)"/>
    <s v="Etudes financées par le PRU (déjà lancées)"/>
    <s v="Urbaine"/>
    <s v="Etudes stratégiques"/>
    <s v="Plaine Commune"/>
    <m/>
    <m/>
    <s v="X"/>
    <s v="Etude de programmation urbaine, architecturale et paysagère suite à l’éventuelle démolition du bâtiment « Mail Maurice de Fontenay » _x000d__x000a_ _x000d__x000a_Mission d’architecte-urbaniste-paysagiste, BET technique et BET géothermique_x000d__x000a_L’étude a pour objet la réalisation d’une programmation urbaine, architecturale et paysagère en vue de la démolition du bâtiment « Mail Maurice de Fontenay » situé au sud du quartier des Clos, à la limite du secteur du centre urbain de la Tour,au sein de la ZAC de la Tour à La Courneuve (4000 Ouest), à proximité du RER B, du T1, de la RN301 et la RN2. _x000d__x000a_ Cette étude vise à : _x000d__x000a_- Définir des options programmatiques et à en évaluer les conséquences spatiales, architecturales, opérationnelles et financières afin de préciser un programme de travaux amenagement global (construction, aménagement d’espaces publics, etc.)suite à la démolition du bâtiment Mail de Fontenay._x000d__x000a_- Définir le devenir de la chaufferie géothermique_x000d__x000a_- Définir les sites pour la reconstitution de logements sociaux (périmètres : ville de La Courneuve élargi au territoire de Fort de l’Est/Saint Denis)."/>
    <n v="0"/>
    <n v="0"/>
    <n v="0"/>
    <n v="0"/>
    <m/>
    <n v="0"/>
    <n v="0"/>
    <n v="0"/>
    <m/>
    <m/>
    <m/>
    <m/>
    <m/>
    <m/>
    <m/>
    <m/>
    <m/>
    <m/>
    <m/>
    <m/>
    <m/>
    <m/>
    <m/>
    <m/>
    <m/>
    <m/>
    <n v="0"/>
    <m/>
    <m/>
    <n v="0"/>
    <n v="0"/>
    <n v="0"/>
    <n v="0"/>
    <n v="0"/>
    <m/>
    <m/>
    <m/>
    <m/>
    <m/>
    <m/>
    <m/>
    <m/>
    <d v="2016-10-01T00:00:00"/>
    <n v="12"/>
    <n v="301"/>
    <n v="0"/>
    <n v="0"/>
    <n v="0"/>
  </r>
  <r>
    <s v="LA COURNEUVE"/>
    <s v="CO-4MI-15"/>
    <s v="DEF-CO-4MI-02"/>
    <x v="3"/>
    <s v="DDUS"/>
    <s v="QP093028"/>
    <s v="CO-4MI-15 / CO-4MI-26"/>
    <s v="Etude de programmation urbaine secteur Convention(schéma d'intention, réseaux, etc)"/>
    <s v="Etude de programmation urbaine"/>
    <s v="Urbaine"/>
    <s v="Espaces extérieurs"/>
    <s v="Plaine Commune"/>
    <m/>
    <m/>
    <s v="X"/>
    <s v="Etude de programmation urbaine, architecturale et paysagère_x000d__x000a_ _x000d__x000a_Mission d’architecte-urbaniste-paysagiste, BET techniqueSur un secteur dense, central, récemment construit mais vivant mal et où le traffic favoriser par la configuration des lieux empêche les usagers/résidents de circuler, habiter, stationner ou accéder aux commerces  librement._x000d__x000a_Cette étude vise à:_x000d__x000a_- améliorer la qualité de l'espace public_x000d__x000a_- reprendre les circulations_x000d__x000a_- penser la relation aux quartiers en mutations alentours_x000d__x000a_- devenir des coques commerciales de la Cour des Maraîchers"/>
    <n v="50000"/>
    <n v="60000"/>
    <n v="50000"/>
    <n v="20000"/>
    <m/>
    <n v="0"/>
    <n v="25000"/>
    <n v="0"/>
    <m/>
    <m/>
    <m/>
    <m/>
    <m/>
    <m/>
    <m/>
    <m/>
    <m/>
    <m/>
    <m/>
    <m/>
    <m/>
    <m/>
    <m/>
    <m/>
    <m/>
    <m/>
    <m/>
    <m/>
    <m/>
    <n v="5000"/>
    <n v="0"/>
    <n v="0"/>
    <n v="0"/>
    <n v="0"/>
    <m/>
    <m/>
    <m/>
    <m/>
    <m/>
    <m/>
    <m/>
    <m/>
    <d v="2016-03-16T00:00:00"/>
    <n v="8"/>
    <n v="0"/>
    <n v="0"/>
    <n v="0"/>
    <n v="0"/>
  </r>
  <r>
    <s v="LA COURNEUVE"/>
    <s v="CO-4MI-26"/>
    <s v="DEF-CO-4MI-02"/>
    <x v="3"/>
    <s v="DDUS"/>
    <s v="QP093028"/>
    <s v="CO-4MI-15 / CO-4MI-26"/>
    <s v="Etude  parking convention"/>
    <s v="Etude de programmation urbaine"/>
    <s v="Urbaine"/>
    <s v="Etudes stratégiques"/>
    <s v="Plaine Commune"/>
    <m/>
    <m/>
    <s v="X"/>
    <s v="Mission BET technique. L'étude a pour objet de clarifier les accès, les flux (piétons + véhicules) au parking Convention._x000d__x000a_Cette étude vise à améliorer le fonctionnement du parking Convention tant en terme de cheminement qu'en terme de sécurité"/>
    <n v="55000"/>
    <n v="66000"/>
    <n v="55000"/>
    <n v="27500"/>
    <m/>
    <n v="0"/>
    <n v="27500"/>
    <n v="0"/>
    <m/>
    <m/>
    <m/>
    <m/>
    <m/>
    <m/>
    <m/>
    <m/>
    <m/>
    <m/>
    <m/>
    <m/>
    <m/>
    <m/>
    <m/>
    <m/>
    <m/>
    <m/>
    <n v="0"/>
    <m/>
    <m/>
    <n v="0"/>
    <n v="0"/>
    <n v="0"/>
    <n v="0"/>
    <n v="0"/>
    <m/>
    <m/>
    <m/>
    <m/>
    <m/>
    <m/>
    <m/>
    <m/>
    <d v="2016-03-16T00:00:00"/>
    <n v="8"/>
    <n v="0"/>
    <n v="0"/>
    <n v="0"/>
    <n v="0"/>
  </r>
  <r>
    <s v="LA COURNEUVE"/>
    <s v="CO-4MI-03"/>
    <s v="DEF-CO-4MI-03"/>
    <x v="3"/>
    <m/>
    <s v="QP093028"/>
    <m/>
    <s v="Mise à jour du projet urbain secteur Debussy : fiche de lots, schéma directeur des espaces publics et des réseaux, etc"/>
    <m/>
    <s v="Technique"/>
    <s v="Etudes stratégiques"/>
    <s v="SEM Plaine Commune Développement"/>
    <m/>
    <m/>
    <s v="X"/>
    <s v="Mise à jour des fiches de lots, schéma directeur des espaces publics et des réseaux, etc"/>
    <n v="80000"/>
    <n v="96000"/>
    <n v="80000"/>
    <n v="40000"/>
    <m/>
    <n v="0"/>
    <n v="0"/>
    <n v="0"/>
    <m/>
    <m/>
    <m/>
    <m/>
    <m/>
    <m/>
    <m/>
    <m/>
    <m/>
    <m/>
    <m/>
    <m/>
    <m/>
    <m/>
    <m/>
    <m/>
    <m/>
    <m/>
    <m/>
    <m/>
    <m/>
    <n v="0"/>
    <n v="0"/>
    <n v="0"/>
    <n v="0"/>
    <n v="40000"/>
    <m/>
    <m/>
    <n v="40000"/>
    <m/>
    <m/>
    <m/>
    <m/>
    <m/>
    <d v="2016-03-16T00:00:00"/>
    <n v="10"/>
    <n v="0"/>
    <n v="0"/>
    <n v="0"/>
    <n v="0"/>
  </r>
  <r>
    <s v="LA COURNEUVE"/>
    <s v="CO-4MI-04"/>
    <s v="DEF-CO-4MI-04"/>
    <x v="3"/>
    <m/>
    <s v="QP093028"/>
    <m/>
    <s v="Etude de caractérisation des sols au secteur Debussy"/>
    <m/>
    <s v="Technique"/>
    <s v="Espaces extérieurs"/>
    <s v="SEM Plaine Commune Développement"/>
    <m/>
    <m/>
    <s v="X"/>
    <s v="Le passé industriel du territoire de Plaine Commune a laissé de nombreuses traces de contamination des sols, aussi dans le cadre des projets urbains_x000d__x000a_prestations attendues : _x000d__x000a_mission G1 : Fourniture après investigation d'un rapport précisant pour le site étudié un modèle géologique préliminaire, les principales caractéristiques géotechniques , première identification des risques géotechniques majeurs et définition de certains principes généraux de construction envisageables."/>
    <n v="40000"/>
    <n v="48000"/>
    <n v="40000"/>
    <n v="20000"/>
    <m/>
    <n v="0"/>
    <n v="0"/>
    <n v="0"/>
    <m/>
    <m/>
    <m/>
    <m/>
    <m/>
    <m/>
    <m/>
    <m/>
    <m/>
    <m/>
    <m/>
    <m/>
    <m/>
    <m/>
    <m/>
    <m/>
    <m/>
    <m/>
    <m/>
    <m/>
    <m/>
    <n v="0"/>
    <n v="0"/>
    <n v="0"/>
    <n v="0"/>
    <n v="20000"/>
    <m/>
    <m/>
    <n v="20000"/>
    <m/>
    <m/>
    <m/>
    <m/>
    <m/>
    <d v="2016-03-16T00:00:00"/>
    <n v="6"/>
    <n v="0"/>
    <n v="0"/>
    <n v="0"/>
    <n v="0"/>
  </r>
  <r>
    <s v="LA COURNEUVE"/>
    <s v="CO-4MI-05"/>
    <s v="DEF-CO-4MI-05"/>
    <x v="3"/>
    <m/>
    <s v="QP093028"/>
    <m/>
    <s v="Diagnostic des réseaux existants au secteur Debussy"/>
    <m/>
    <s v="Technique"/>
    <s v="Espaces extérieurs"/>
    <s v="SEM Plaine Commune Développement"/>
    <m/>
    <m/>
    <s v="X"/>
    <s v="Dans le cadre de l'engagement des nouvelles études urbaines sur les 14 quartiers d'intérêt national,il s'agit de disposer d'un support cartographique élaborée sur la base de levers topographiques actualisés dressés par géomètre. La maîtise d'ouvrage fournira une inspection télévisée des ouvrages d'assainissement,précisant le diagnostic du réseau.Le géomètre aura également pour mission  de reporter sur le lever topographique  le rescensement des divers réseaux après enquête auprès des concessionnaires afin d'établir le plan de coordination des réseaux divers."/>
    <n v="10000"/>
    <n v="12000"/>
    <n v="10000"/>
    <n v="5000"/>
    <m/>
    <n v="0"/>
    <n v="0"/>
    <n v="0"/>
    <m/>
    <m/>
    <m/>
    <m/>
    <m/>
    <m/>
    <m/>
    <m/>
    <m/>
    <m/>
    <m/>
    <m/>
    <m/>
    <m/>
    <m/>
    <m/>
    <m/>
    <m/>
    <m/>
    <m/>
    <m/>
    <n v="0"/>
    <n v="0"/>
    <n v="0"/>
    <n v="0"/>
    <n v="5000"/>
    <m/>
    <m/>
    <n v="5000"/>
    <m/>
    <m/>
    <m/>
    <m/>
    <m/>
    <d v="2016-03-16T00:00:00"/>
    <n v="3"/>
    <n v="0"/>
    <n v="0"/>
    <n v="0"/>
    <n v="0"/>
  </r>
  <r>
    <s v="LA COURNEUVE"/>
    <s v="CO-4MI-06"/>
    <s v="DEF-CO-4MI-06"/>
    <x v="3"/>
    <m/>
    <s v="QP093028"/>
    <m/>
    <s v="Diagnostic amiante des enrobés présents sur les voiries existantes"/>
    <m/>
    <s v="Technique"/>
    <s v="Espaces extérieurs"/>
    <s v="SEM Plaine Commune Développement"/>
    <m/>
    <m/>
    <s v="X"/>
    <s v="Conformément à la réglementation en vigueur et notamment en vu de l'applicatione du décret N°2012-639 du 4 mai 2012 relatif aux risques d'exposition à l'amiante, il s'avère nécessaire de rechercher des matériaux susceptibles d'en contenir dans les matériaux  de voirie à base de produits bitumineux._x000d__x000a_Prestations attendues : Reconnaissance par sondages destructifs des revêtements enrobés compris dans les périmètres des futurs espaces publics des projets urbains NPNRU;sondages conduits conformément à l'arrêté du 26 juin 2013, analyse des échantillons par laboratoire agréé,remise du rapportde mission de repérage."/>
    <n v="10000"/>
    <n v="12000"/>
    <n v="10000"/>
    <n v="5000"/>
    <m/>
    <n v="0"/>
    <n v="0"/>
    <n v="0"/>
    <m/>
    <m/>
    <m/>
    <m/>
    <m/>
    <m/>
    <m/>
    <m/>
    <m/>
    <m/>
    <m/>
    <m/>
    <m/>
    <m/>
    <m/>
    <m/>
    <m/>
    <m/>
    <m/>
    <m/>
    <m/>
    <n v="0"/>
    <n v="0"/>
    <n v="0"/>
    <n v="0"/>
    <n v="5000"/>
    <m/>
    <m/>
    <n v="5000"/>
    <m/>
    <m/>
    <m/>
    <m/>
    <m/>
    <d v="2016-03-01T00:00:00"/>
    <n v="1"/>
    <n v="0"/>
    <n v="0"/>
    <n v="0"/>
    <n v="0"/>
  </r>
  <r>
    <s v="LA COURNEUVE"/>
    <s v="CO-4MI-07"/>
    <s v="DEF-CO-4MI-07"/>
    <x v="3"/>
    <m/>
    <s v="QP093028"/>
    <m/>
    <s v="Faisabilité des dévoiements des réseaux sous l'immeuble Robespierre, au niveau de la cité  H. Barbusse, sur le pôle des services publics des 4000 ouest, le raccordement des programmes immobiliers des 4000 nord et des 4000 ouest"/>
    <m/>
    <s v="Technique"/>
    <s v="Espaces extérieurs"/>
    <s v="Syndicat Mixte des Réseaux D'énergies Calorifiques"/>
    <m/>
    <m/>
    <s v="X"/>
    <s v="Faisabilité des dévoiements des réseaux sous l'immeuble Robespierre, au niveau de la cité  H. Barbusse, sur le pôle des services publics des 4000 ouest, le raccordement des programmes immobiliers des 4000 nord et des 4000 ouest"/>
    <n v="20000"/>
    <n v="24000"/>
    <n v="20000"/>
    <n v="10000"/>
    <m/>
    <n v="0"/>
    <n v="0"/>
    <n v="0"/>
    <m/>
    <m/>
    <m/>
    <m/>
    <m/>
    <m/>
    <m/>
    <m/>
    <m/>
    <m/>
    <m/>
    <m/>
    <m/>
    <m/>
    <m/>
    <m/>
    <m/>
    <m/>
    <m/>
    <m/>
    <m/>
    <n v="0"/>
    <n v="0"/>
    <n v="0"/>
    <n v="0"/>
    <n v="10000"/>
    <m/>
    <n v="10000"/>
    <m/>
    <m/>
    <m/>
    <m/>
    <m/>
    <m/>
    <d v="2016-03-16T00:00:00"/>
    <n v="6"/>
    <n v="0"/>
    <n v="0"/>
    <n v="0"/>
    <n v="0"/>
  </r>
  <r>
    <s v="LA COURNEUVE"/>
    <s v="CO-4MI-08"/>
    <s v="DEF-CO-4MI-08"/>
    <x v="3"/>
    <m/>
    <s v="QP093028"/>
    <m/>
    <s v="Diagnostic technique mail de Fontenay (amiante, plomb, bâti, VRD)"/>
    <m/>
    <s v="Habitat"/>
    <s v="Logement"/>
    <s v="OPH 93"/>
    <m/>
    <m/>
    <s v="X"/>
    <s v="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
    <n v="98676"/>
    <n v="118410"/>
    <n v="98676"/>
    <n v="49338"/>
    <m/>
    <n v="0"/>
    <n v="0"/>
    <n v="49338"/>
    <m/>
    <m/>
    <m/>
    <m/>
    <m/>
    <m/>
    <m/>
    <m/>
    <n v="49338"/>
    <m/>
    <m/>
    <m/>
    <m/>
    <m/>
    <m/>
    <m/>
    <m/>
    <m/>
    <m/>
    <m/>
    <m/>
    <n v="0"/>
    <n v="0"/>
    <n v="0"/>
    <n v="0"/>
    <n v="0"/>
    <m/>
    <m/>
    <m/>
    <m/>
    <m/>
    <m/>
    <m/>
    <m/>
    <d v="2016-07-01T00:00:00"/>
    <n v="3"/>
    <n v="301"/>
    <n v="0"/>
    <n v="0"/>
    <n v="0"/>
  </r>
  <r>
    <s v="LA COURNEUVE"/>
    <s v="CO-4MI-09"/>
    <s v="DEF-CO-4MI-09"/>
    <x v="3"/>
    <m/>
    <s v="QP093028"/>
    <m/>
    <s v="Enquête sociale pour démolition Mail de Fontenay"/>
    <m/>
    <s v="Habitat"/>
    <s v="Logement"/>
    <s v="OPH 93"/>
    <m/>
    <m/>
    <s v="X"/>
    <s v="L'estimation de la présence d'amiante et son ampleur dans le cadre d'une réhabilitation et d'une démolition est indispensable, dans la définition des projets de réhabilitation ou de relogements dans une optique de diversité de l'habitat ."/>
    <n v="31354"/>
    <n v="37625"/>
    <n v="31354"/>
    <n v="15677"/>
    <m/>
    <n v="0"/>
    <n v="0"/>
    <n v="15677"/>
    <m/>
    <m/>
    <m/>
    <m/>
    <m/>
    <m/>
    <m/>
    <m/>
    <n v="15677"/>
    <m/>
    <m/>
    <m/>
    <m/>
    <m/>
    <m/>
    <m/>
    <m/>
    <m/>
    <m/>
    <m/>
    <m/>
    <n v="0"/>
    <n v="0"/>
    <n v="0"/>
    <n v="0"/>
    <n v="0"/>
    <m/>
    <m/>
    <m/>
    <m/>
    <m/>
    <m/>
    <m/>
    <m/>
    <d v="2017-01-01T00:00:00"/>
    <n v="6"/>
    <n v="0"/>
    <n v="0"/>
    <n v="0"/>
    <n v="0"/>
  </r>
  <r>
    <s v="LA COURNEUVE"/>
    <s v="CO-4MI-11"/>
    <s v="DEF-CO-4MI-10"/>
    <x v="3"/>
    <m/>
    <s v="QP093028"/>
    <m/>
    <s v="Etudes de faisabilité et fiches de lots/études technique (sols, pollution, géotechniques)"/>
    <m/>
    <s v="Technique"/>
    <s v="Espaces extérieurs"/>
    <s v="OPH 93"/>
    <m/>
    <m/>
    <s v="X"/>
    <s v="Il s'agit ici de mener des études de faisabilité jusqu'à la constitution des fiches de lots, études de sols (dont pollution) et géotechniques sur les sites de reconstruction définis par l'étude urbaine du Mail de Fontenay. Ces études urbanistiques et techniques permettront d'établir un chiffrage réaliste de chaque opération de construction neuve de logements sociaux, qui prendra en compte l'état du foncier."/>
    <n v="80000"/>
    <n v="96000"/>
    <n v="80000"/>
    <n v="40000"/>
    <m/>
    <n v="0"/>
    <n v="0"/>
    <n v="40000"/>
    <m/>
    <m/>
    <m/>
    <m/>
    <m/>
    <m/>
    <m/>
    <m/>
    <n v="40000"/>
    <m/>
    <m/>
    <m/>
    <m/>
    <m/>
    <m/>
    <m/>
    <m/>
    <m/>
    <m/>
    <m/>
    <m/>
    <n v="0"/>
    <n v="0"/>
    <n v="0"/>
    <n v="0"/>
    <n v="0"/>
    <m/>
    <m/>
    <m/>
    <m/>
    <m/>
    <m/>
    <m/>
    <m/>
    <d v="2016-11-01T00:00:00"/>
    <n v="3"/>
    <n v="0"/>
    <n v="0"/>
    <n v="0"/>
    <n v="0"/>
  </r>
  <r>
    <s v="LA COURNEUVE"/>
    <s v="CO-4MI-12"/>
    <s v="DEF-CO-4MI-11"/>
    <x v="3"/>
    <m/>
    <s v="QP093028"/>
    <m/>
    <s v="Réhabilitation Musset- diagnostic thermique, façade, toiture"/>
    <m/>
    <s v="Habitat"/>
    <s v="Logement"/>
    <s v="OPH 93"/>
    <m/>
    <m/>
    <s v="X"/>
    <s v="Sur la base de l'étude thermique, l'étude de faisabilité va permettre de définir le projet de réhabilitation thermique en accord avec le projet de restructuration urbaine du quartier."/>
    <n v="35958"/>
    <n v="43150"/>
    <n v="35958"/>
    <n v="17979"/>
    <m/>
    <n v="0"/>
    <n v="0"/>
    <n v="17979"/>
    <m/>
    <m/>
    <m/>
    <m/>
    <m/>
    <m/>
    <m/>
    <m/>
    <n v="17979"/>
    <m/>
    <m/>
    <m/>
    <m/>
    <m/>
    <m/>
    <m/>
    <m/>
    <m/>
    <m/>
    <m/>
    <m/>
    <n v="0"/>
    <n v="0"/>
    <n v="0"/>
    <n v="0"/>
    <n v="0"/>
    <m/>
    <m/>
    <m/>
    <m/>
    <m/>
    <m/>
    <m/>
    <m/>
    <d v="2016-03-16T00:00:00"/>
    <n v="3"/>
    <n v="118"/>
    <n v="0"/>
    <n v="0"/>
    <n v="0"/>
  </r>
  <r>
    <s v="LA COURNEUVE"/>
    <s v="CO-4MI-17"/>
    <s v="DEF-CO-4MI-12"/>
    <x v="3"/>
    <m/>
    <s v="QP093028"/>
    <m/>
    <s v="Etude d'opportunité socio-économique du pôle de services publics"/>
    <m/>
    <s v="Urbaine"/>
    <s v="Etudes stratégiques"/>
    <s v="Ville de la Courneuve"/>
    <m/>
    <m/>
    <s v="X"/>
    <s v="&gt; Equipement central de 2200m² mais très dégradé et largement amianté _x000d__x000a_&gt; Vers une occupation partielle (déménagement du CMS au centre ville)_x000d__x000a_ _x000d__x000a_Objectifs NPNRU_x000d__x000a_&gt; Etudes sur la viabilité/mutabilité à mener_x000d__x000a_&gt; Restructurer le pôle_x000d__x000a_ _x000d__x000a_Objet_x000d__x000a_étude visant à définir une programmation pour les locaux du pôle de service publics_x000d__x000a_ainsi que le ou les montages juridiques et financiers"/>
    <n v="60000"/>
    <n v="72000"/>
    <n v="60000"/>
    <n v="30000"/>
    <m/>
    <n v="30000"/>
    <n v="0"/>
    <n v="0"/>
    <m/>
    <m/>
    <m/>
    <m/>
    <m/>
    <m/>
    <m/>
    <m/>
    <m/>
    <m/>
    <m/>
    <m/>
    <m/>
    <m/>
    <m/>
    <m/>
    <m/>
    <m/>
    <m/>
    <m/>
    <m/>
    <n v="0"/>
    <n v="0"/>
    <n v="0"/>
    <n v="0"/>
    <n v="0"/>
    <m/>
    <m/>
    <m/>
    <m/>
    <m/>
    <m/>
    <m/>
    <m/>
    <d v="2016-07-01T00:00:00"/>
    <n v="12"/>
    <n v="0"/>
    <n v="0"/>
    <n v="0"/>
    <n v="0"/>
  </r>
  <r>
    <s v="LA COURNEUVE"/>
    <s v="CO-4MI-18"/>
    <s v="DEF-CO-4MI-13"/>
    <x v="3"/>
    <m/>
    <s v="QP093028"/>
    <m/>
    <s v="Diagnostic social secteur Convention"/>
    <m/>
    <s v="Habitat"/>
    <s v="Logement"/>
    <s v="Ville de la Courneuve"/>
    <m/>
    <m/>
    <s v="X"/>
    <s v="Il s’agit de lutter contre les phénomènes qui favorisent la délinquance et qui détériorent la tranquillité des usagers et habitants du territoire. Par ailleurs, l’objectif de cette étude porte sur l’animation culturelle et sociale du quartier."/>
    <n v="55000"/>
    <n v="66000"/>
    <n v="55000"/>
    <n v="27500"/>
    <m/>
    <n v="27500"/>
    <n v="0"/>
    <n v="0"/>
    <m/>
    <m/>
    <m/>
    <m/>
    <m/>
    <m/>
    <m/>
    <m/>
    <m/>
    <m/>
    <m/>
    <m/>
    <m/>
    <m/>
    <m/>
    <m/>
    <m/>
    <m/>
    <n v="0"/>
    <m/>
    <m/>
    <n v="0"/>
    <n v="0"/>
    <n v="0"/>
    <n v="0"/>
    <n v="0"/>
    <m/>
    <m/>
    <m/>
    <m/>
    <m/>
    <m/>
    <m/>
    <m/>
    <m/>
    <m/>
    <n v="0"/>
    <n v="0"/>
    <n v="0"/>
    <n v="0"/>
  </r>
  <r>
    <s v="LA COURNEUVE"/>
    <s v="CO-4MI-19"/>
    <s v="DEF-CO-4MI-14"/>
    <x v="3"/>
    <m/>
    <s v="QP093028"/>
    <s v="CO-4MI-19 / CO-4MI-24"/>
    <s v="Programmation Centre Culturel J Houdremont"/>
    <m/>
    <s v="Urbaine"/>
    <s v="Equipements"/>
    <s v="Ville de la Courneuve"/>
    <m/>
    <m/>
    <s v="X"/>
    <s v="&gt; Equipement central, vétuste et conçu pour d’autres usages (salle des fêtes),_x000d__x000a_&gt; Une programmation ambitieuse et un rayonnement culturel étendu,_x000d__x000a_&gt; Une sur-occupation de l’équipement (services, médiathèque, centre culturel, associations, ateliers, cours…)_x000d__x000a_ _x000d__x000a_Objectifs NPNRU_x000d__x000a_&gt; Etudes sur la viabilité/mutabilité à mener_x000d__x000a_&gt; Restructurer le pôle_x000d__x000a_ _x000d__x000a_Objet : étude visant à définir une programmation pour les locaux du pôle de service publics_x000d__x000a_ainsi que le ou les montages juridiques et financiers"/>
    <n v="60000"/>
    <n v="72000"/>
    <n v="60000"/>
    <n v="30000"/>
    <m/>
    <n v="30000"/>
    <n v="0"/>
    <n v="0"/>
    <m/>
    <m/>
    <m/>
    <m/>
    <m/>
    <m/>
    <m/>
    <m/>
    <m/>
    <m/>
    <m/>
    <m/>
    <m/>
    <m/>
    <m/>
    <m/>
    <m/>
    <m/>
    <n v="0"/>
    <m/>
    <m/>
    <n v="0"/>
    <n v="0"/>
    <n v="0"/>
    <n v="0"/>
    <n v="0"/>
    <m/>
    <m/>
    <m/>
    <m/>
    <m/>
    <m/>
    <m/>
    <m/>
    <d v="2016-10-01T00:00:00"/>
    <n v="12"/>
    <n v="0"/>
    <n v="0"/>
    <n v="0"/>
    <n v="0"/>
  </r>
  <r>
    <s v="LA COURNEUVE"/>
    <s v="CO-4MI-24"/>
    <s v="DEF-CO-4MI-14"/>
    <x v="3"/>
    <m/>
    <s v="QP093028"/>
    <m/>
    <s v="Programmation groupe scolaire "/>
    <m/>
    <s v="Urbaine"/>
    <s v="Equipements"/>
    <s v="Ville de la Courneuve"/>
    <m/>
    <m/>
    <s v="X"/>
    <s v="Equipement scolaire à construire dans le cadre de l'opération  &quot;KDI&quot; en bordure des 4000sud dans le périmètre QPV._x000d__x000a_Il accueillera une part de la population scolaire des 4000ouest en augmentation._x000d__x000a_ _x000d__x000a_L'étude doit permettre d'arrêter un programme, elle comprend les études de sols et de terrain."/>
    <n v="50000"/>
    <n v="60000"/>
    <n v="50000"/>
    <n v="25000"/>
    <m/>
    <n v="25000"/>
    <n v="0"/>
    <n v="0"/>
    <m/>
    <m/>
    <m/>
    <m/>
    <m/>
    <m/>
    <m/>
    <m/>
    <m/>
    <m/>
    <m/>
    <m/>
    <m/>
    <m/>
    <m/>
    <m/>
    <m/>
    <m/>
    <n v="0"/>
    <m/>
    <m/>
    <n v="0"/>
    <n v="0"/>
    <n v="0"/>
    <n v="0"/>
    <n v="0"/>
    <m/>
    <m/>
    <m/>
    <m/>
    <m/>
    <m/>
    <m/>
    <m/>
    <d v="2016-10-01T00:00:00"/>
    <n v="12"/>
    <n v="0"/>
    <n v="0"/>
    <n v="0"/>
    <n v="0"/>
  </r>
  <r>
    <s v="LA COURNEUVE"/>
    <s v="CO-4MI-20"/>
    <s v="DEF-CO-4MI-15"/>
    <x v="3"/>
    <m/>
    <s v="QP093028"/>
    <s v="CO-4MI-20 / CO-MI-21"/>
    <s v="Diagnostics préalables (amiante et structure) Centre Culturel J Houdremont"/>
    <m/>
    <s v="Technique"/>
    <s v="Equipements"/>
    <s v="Ville de la Courneuve"/>
    <m/>
    <m/>
    <s v="X"/>
    <s v="&gt; Equipement central, vétuste et conçu pour d’autres usages (salle des fêtes),_x000d__x000a_&gt; Une programmation ambitieuse et un rayonnement culturel étendu,_x000d__x000a_&gt; Une sur-occupation de l’équipement (services, médiathèque, centre culturel, associations, ateliers, cours…)_x000d__x000a_ _x000d__x000a_Objectifs NPNRU_x000d__x000a_&gt; Etudes sur la viabilité/mutabilité à mener_x000d__x000a_&gt; Restructurer le pôle_x000d__x000a_ _x000d__x000a_Objet : études techniques préalables à une reconversion du site"/>
    <n v="35000"/>
    <n v="42000"/>
    <n v="35000"/>
    <n v="17500"/>
    <m/>
    <n v="17500"/>
    <n v="0"/>
    <n v="0"/>
    <m/>
    <m/>
    <m/>
    <m/>
    <m/>
    <m/>
    <m/>
    <m/>
    <m/>
    <m/>
    <m/>
    <m/>
    <m/>
    <m/>
    <m/>
    <m/>
    <m/>
    <m/>
    <n v="0"/>
    <m/>
    <m/>
    <n v="0"/>
    <n v="0"/>
    <n v="0"/>
    <n v="0"/>
    <n v="0"/>
    <m/>
    <m/>
    <m/>
    <m/>
    <m/>
    <m/>
    <m/>
    <m/>
    <d v="2016-10-01T00:00:00"/>
    <n v="8"/>
    <n v="0"/>
    <n v="0"/>
    <n v="0"/>
    <n v="0"/>
  </r>
  <r>
    <s v="LA COURNEUVE"/>
    <s v="CO-4MI-21"/>
    <s v="DEF-CO-4MI-15"/>
    <x v="3"/>
    <m/>
    <s v="QP093028"/>
    <m/>
    <s v="Diagnostics préalables (amiante et structure) pôle équipements public"/>
    <m/>
    <s v="Technique"/>
    <s v="Equipements"/>
    <s v="Ville de la Courneuve"/>
    <m/>
    <m/>
    <s v="X"/>
    <s v="&gt; Equipement central de 2200m² mais très dégradé et largement amianté _x000d__x000a_&gt; Vers une occupation partielle (déménagement du CMS au centre ville)_x000d__x000a_ _x000d__x000a_Objectifs NPNRU_x000d__x000a_&gt; Etudes sur la viabilité/mutabilité à mener_x000d__x000a_&gt; Restructurer le pôle_x000d__x000a_ _x000d__x000a_Objet_x000d__x000a_études techniques préalables à une reconversion du site"/>
    <n v="35000"/>
    <n v="42000"/>
    <n v="35000"/>
    <n v="17500"/>
    <m/>
    <n v="17500"/>
    <n v="0"/>
    <n v="0"/>
    <m/>
    <m/>
    <m/>
    <m/>
    <m/>
    <m/>
    <m/>
    <m/>
    <m/>
    <m/>
    <m/>
    <m/>
    <m/>
    <m/>
    <m/>
    <m/>
    <m/>
    <m/>
    <n v="0"/>
    <m/>
    <m/>
    <n v="0"/>
    <n v="0"/>
    <n v="0"/>
    <n v="0"/>
    <n v="0"/>
    <m/>
    <m/>
    <m/>
    <m/>
    <m/>
    <m/>
    <m/>
    <m/>
    <d v="2016-03-07T00:00:00"/>
    <n v="8"/>
    <n v="0"/>
    <n v="0"/>
    <n v="0"/>
    <n v="0"/>
  </r>
  <r>
    <s v="LA COURNEUVE"/>
    <s v="CO-4MI-10"/>
    <s v="DEF-CO-4MI-16"/>
    <x v="3"/>
    <s v="PCH"/>
    <m/>
    <s v="CO-4MI-10 / CO-4MI-39"/>
    <s v="Diagnostic social du 49 Barbusse"/>
    <s v="Diagnostic Social"/>
    <s v="Habitat"/>
    <s v="Logement"/>
    <s v="PCH"/>
    <m/>
    <m/>
    <s v="X"/>
    <s v="Une enquête sociale permettra de prendre en compte, entre autres, la capacité financière  des habitants (ressources, reste à vivre) dans la définition des projets de réhabilitation ou de relogements dans une optique de diversité de l'habitat ."/>
    <n v="4984"/>
    <n v="5981"/>
    <n v="4984"/>
    <n v="2492"/>
    <m/>
    <n v="0"/>
    <n v="0"/>
    <n v="2492"/>
    <m/>
    <m/>
    <m/>
    <m/>
    <m/>
    <m/>
    <m/>
    <m/>
    <m/>
    <n v="2492"/>
    <m/>
    <m/>
    <m/>
    <m/>
    <m/>
    <m/>
    <m/>
    <m/>
    <m/>
    <m/>
    <m/>
    <n v="0"/>
    <n v="0"/>
    <n v="0"/>
    <n v="0"/>
    <n v="0"/>
    <m/>
    <m/>
    <m/>
    <m/>
    <m/>
    <m/>
    <m/>
    <m/>
    <d v="2016-03-01T00:00:00"/>
    <n v="6"/>
    <n v="0"/>
    <n v="0"/>
    <n v="0"/>
    <n v="0"/>
  </r>
  <r>
    <s v="LA COURNEUVE"/>
    <s v="CO-4MI-39"/>
    <s v="DEF-CO-4MI-16"/>
    <x v="3"/>
    <s v="PCH"/>
    <m/>
    <s v="CO-4MI-10 / CO-4MI-39"/>
    <s v="Diagnostic social au secteur Vieux Barbusse (avec petit Verlaine et 75/81 av. Barbusse - 444 lgts"/>
    <s v="Diagnostic Social"/>
    <s v="Habitat"/>
    <s v="Logement"/>
    <s v="PCH"/>
    <m/>
    <m/>
    <s v="X"/>
    <s v="Une enquête sociale permettra de prendre en compte, entre autres, la capacité financière  des habitants (ressources, reste à vivre) dans la définition des projets de réhabilitation ou de relogements dans une optique de diversité de l'habitat ."/>
    <n v="42660"/>
    <n v="51192"/>
    <n v="42660"/>
    <n v="21330"/>
    <m/>
    <n v="0"/>
    <n v="0"/>
    <n v="21330"/>
    <m/>
    <m/>
    <m/>
    <m/>
    <m/>
    <m/>
    <m/>
    <m/>
    <m/>
    <n v="21330"/>
    <m/>
    <m/>
    <m/>
    <m/>
    <m/>
    <m/>
    <m/>
    <m/>
    <m/>
    <m/>
    <m/>
    <n v="0"/>
    <n v="0"/>
    <n v="0"/>
    <n v="0"/>
    <n v="0"/>
    <m/>
    <m/>
    <m/>
    <m/>
    <m/>
    <m/>
    <m/>
    <m/>
    <d v="2016-03-01T00:00:00"/>
    <n v="6"/>
    <n v="444"/>
    <n v="0"/>
    <n v="0"/>
    <n v="0"/>
  </r>
  <r>
    <s v="LA COURNEUVE"/>
    <s v="CO-4MI-41"/>
    <s v="DEF-CO-4MI-17"/>
    <x v="3"/>
    <s v="PCH"/>
    <m/>
    <s v="CO-4MI-41 /CO-4MI-42"/>
    <s v="Diagnostic technique du 49 Barbusse"/>
    <s v="Diagnostic technique"/>
    <s v="Habitat"/>
    <s v="Logement"/>
    <s v="PCH"/>
    <m/>
    <m/>
    <s v="X"/>
    <s v="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
    <n v="21043"/>
    <n v="25252"/>
    <n v="21043"/>
    <n v="10522"/>
    <m/>
    <n v="0"/>
    <n v="0"/>
    <n v="10522"/>
    <m/>
    <m/>
    <m/>
    <m/>
    <m/>
    <m/>
    <m/>
    <m/>
    <m/>
    <n v="10522"/>
    <m/>
    <m/>
    <m/>
    <m/>
    <m/>
    <m/>
    <m/>
    <m/>
    <m/>
    <m/>
    <m/>
    <n v="0"/>
    <n v="0"/>
    <n v="0"/>
    <n v="0"/>
    <n v="0"/>
    <m/>
    <m/>
    <m/>
    <m/>
    <m/>
    <m/>
    <m/>
    <m/>
    <d v="2016-04-01T00:00:00"/>
    <n v="3"/>
    <n v="361"/>
    <n v="0"/>
    <n v="-1"/>
    <n v="-1"/>
  </r>
  <r>
    <s v="LA COURNEUVE"/>
    <s v="CO-4MI-42"/>
    <s v="DEF-CO-4MI-17"/>
    <x v="3"/>
    <s v="PCH"/>
    <m/>
    <s v="CO-4MI-41 /CO-4MI-42"/>
    <s v="Diagnostic technique du bâti au secteur Vieux Barbusse (plomb, sondages structure)"/>
    <s v="Diagnostic technique"/>
    <s v="Habitat"/>
    <s v="Logement"/>
    <s v="PCH"/>
    <m/>
    <m/>
    <s v="X"/>
    <s v="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
    <n v="95090"/>
    <n v="114108"/>
    <n v="95090"/>
    <n v="47545"/>
    <m/>
    <n v="0"/>
    <n v="0"/>
    <n v="47545"/>
    <m/>
    <m/>
    <m/>
    <m/>
    <m/>
    <m/>
    <m/>
    <m/>
    <m/>
    <n v="47545"/>
    <m/>
    <m/>
    <m/>
    <m/>
    <m/>
    <m/>
    <m/>
    <m/>
    <m/>
    <m/>
    <m/>
    <n v="0"/>
    <n v="0"/>
    <n v="0"/>
    <n v="0"/>
    <n v="0"/>
    <m/>
    <m/>
    <m/>
    <m/>
    <m/>
    <m/>
    <m/>
    <m/>
    <d v="2016-03-16T00:00:00"/>
    <n v="3"/>
    <n v="361"/>
    <n v="0"/>
    <n v="0"/>
    <n v="0"/>
  </r>
  <r>
    <s v="LA COURNEUVE"/>
    <s v="CO-4MI-43"/>
    <s v="DEF-CO-4MI-18"/>
    <x v="3"/>
    <m/>
    <s v="QP093028"/>
    <m/>
    <s v="Etude Franchissement de la A1 au Vieux Barbusse"/>
    <m/>
    <s v="Urbaine"/>
    <s v="Etudes stratégiques"/>
    <s v="SEM Plaine Commune Développement"/>
    <m/>
    <m/>
    <s v="X"/>
    <s v="Etude déjà réalisée dans le cadre du PNRU._x000d__x000a_ _x000d__x000a_Etudier la création d'un large franchissement couvert de verdure au-dessus de l'A1, permettant d'amener le parc G.Valbon dans les 4000 nord et le Centre-Ville._x000d__x000a_ _x000d__x000a_Cette passerelle doit s'inscrire dans le projet urbain à long terme."/>
    <n v="0"/>
    <n v="0"/>
    <n v="0"/>
    <n v="0"/>
    <s v="Financement PNRU1"/>
    <n v="0"/>
    <n v="0"/>
    <n v="0"/>
    <m/>
    <m/>
    <m/>
    <m/>
    <m/>
    <m/>
    <m/>
    <m/>
    <m/>
    <m/>
    <m/>
    <m/>
    <m/>
    <m/>
    <m/>
    <m/>
    <m/>
    <m/>
    <n v="0"/>
    <m/>
    <m/>
    <n v="0"/>
    <n v="0"/>
    <n v="0"/>
    <n v="0"/>
    <n v="0"/>
    <m/>
    <m/>
    <m/>
    <m/>
    <m/>
    <m/>
    <m/>
    <m/>
    <m/>
    <m/>
    <m/>
    <n v="0"/>
    <n v="0"/>
    <n v="0"/>
  </r>
  <r>
    <s v="EPINAY-SUR-SEINE"/>
    <s v="EP-CV-01"/>
    <s v="DEF-EP-CV-01"/>
    <x v="4"/>
    <s v="DDUS"/>
    <m/>
    <m/>
    <s v="Centre-Ville - Etudes de faisabilité techniques et juridiques- Ilot marché - OPH93"/>
    <m/>
    <s v="Habitat"/>
    <m/>
    <s v="OPH 93"/>
    <m/>
    <m/>
    <m/>
    <m/>
    <n v="72500"/>
    <n v="87000"/>
    <n v="72500"/>
    <n v="36250"/>
    <s v="Plusieurs marchés"/>
    <n v="0"/>
    <n v="0"/>
    <n v="36250"/>
    <m/>
    <m/>
    <m/>
    <m/>
    <m/>
    <m/>
    <m/>
    <m/>
    <n v="36250"/>
    <m/>
    <m/>
    <m/>
    <m/>
    <m/>
    <m/>
    <m/>
    <m/>
    <m/>
    <m/>
    <m/>
    <m/>
    <n v="0"/>
    <n v="0"/>
    <n v="0"/>
    <n v="0"/>
    <n v="0"/>
    <m/>
    <m/>
    <m/>
    <m/>
    <m/>
    <m/>
    <m/>
    <m/>
    <m/>
    <m/>
    <m/>
    <m/>
    <n v="0"/>
    <n v="0"/>
  </r>
  <r>
    <s v="EPINAY-SUR-SEINE"/>
    <s v="EP-CV-02"/>
    <s v="DEF-EP-CV-02"/>
    <x v="4"/>
    <s v="DDUS"/>
    <m/>
    <m/>
    <s v="Centre-Ville - AMO de coordination du Projet urbain et de pilotage des études urbaines et techniques de l'esplanade de l'Hôtel de Ville"/>
    <m/>
    <s v="Urbaine"/>
    <m/>
    <s v="Plaine Commune"/>
    <m/>
    <m/>
    <m/>
    <m/>
    <n v="210000"/>
    <n v="252000"/>
    <n v="210000"/>
    <n v="105000"/>
    <s v="Plusieurs marchés"/>
    <n v="0"/>
    <n v="105000"/>
    <n v="0"/>
    <m/>
    <m/>
    <m/>
    <m/>
    <m/>
    <m/>
    <m/>
    <m/>
    <m/>
    <m/>
    <m/>
    <m/>
    <m/>
    <m/>
    <m/>
    <m/>
    <m/>
    <m/>
    <m/>
    <m/>
    <m/>
    <n v="0"/>
    <n v="0"/>
    <n v="0"/>
    <n v="0"/>
    <n v="0"/>
    <m/>
    <m/>
    <m/>
    <m/>
    <m/>
    <m/>
    <m/>
    <m/>
    <m/>
    <m/>
    <m/>
    <m/>
    <n v="0"/>
    <n v="0"/>
  </r>
  <r>
    <s v="EPINAY-SUR-SEINE"/>
    <s v="EP-CV-03"/>
    <s v="DEF-EP-CV-03"/>
    <x v="4"/>
    <m/>
    <m/>
    <m/>
    <s v="Centre-Ville - Diagnostics techniques - Epinay 34 et 37 (rues de Paris/Guynemer)"/>
    <m/>
    <s v="Habitat"/>
    <m/>
    <s v="France Habitation"/>
    <m/>
    <m/>
    <m/>
    <m/>
    <n v="51220"/>
    <n v="61464"/>
    <n v="51220"/>
    <n v="25610"/>
    <s v="Plusieurs marchés"/>
    <n v="0"/>
    <n v="0"/>
    <n v="25610"/>
    <m/>
    <n v="25610"/>
    <m/>
    <m/>
    <m/>
    <m/>
    <m/>
    <m/>
    <m/>
    <m/>
    <m/>
    <m/>
    <m/>
    <m/>
    <m/>
    <m/>
    <m/>
    <m/>
    <m/>
    <m/>
    <m/>
    <n v="0"/>
    <n v="0"/>
    <n v="0"/>
    <n v="0"/>
    <n v="0"/>
    <m/>
    <m/>
    <m/>
    <m/>
    <m/>
    <m/>
    <m/>
    <m/>
    <m/>
    <m/>
    <m/>
    <m/>
    <n v="0"/>
    <n v="0"/>
  </r>
  <r>
    <s v="EPINAY-SUR-SEINE"/>
    <s v="EP-CV-04"/>
    <s v="DEF-EP-CV-04"/>
    <x v="4"/>
    <s v="Ville d'Epinay-sur-Seine"/>
    <m/>
    <m/>
    <s v="Centre-Ville - Diagnostic pré-opérationnel Bourse du travail"/>
    <m/>
    <s v="Technique"/>
    <m/>
    <s v="Ville d'Epinay-sur-Seine"/>
    <m/>
    <m/>
    <m/>
    <m/>
    <n v="25000"/>
    <n v="30000"/>
    <n v="25000"/>
    <n v="12500"/>
    <s v=""/>
    <n v="12500"/>
    <n v="0"/>
    <n v="0"/>
    <m/>
    <m/>
    <m/>
    <m/>
    <m/>
    <m/>
    <m/>
    <m/>
    <m/>
    <m/>
    <m/>
    <m/>
    <m/>
    <m/>
    <m/>
    <m/>
    <m/>
    <m/>
    <m/>
    <m/>
    <m/>
    <n v="0"/>
    <n v="0"/>
    <n v="0"/>
    <n v="0"/>
    <n v="0"/>
    <m/>
    <m/>
    <m/>
    <m/>
    <m/>
    <m/>
    <m/>
    <m/>
    <m/>
    <m/>
    <m/>
    <m/>
    <n v="0"/>
    <n v="0"/>
  </r>
  <r>
    <s v="EPINAY-SUR-SEINE"/>
    <s v="EP-CV-05"/>
    <s v="DEF-EP-CV-05"/>
    <x v="4"/>
    <s v="Ville d'Epinay-sur-Seine"/>
    <m/>
    <m/>
    <s v="Centre-Ville - Diagnostic pré-opérationnel Ecole Georges Martin"/>
    <m/>
    <s v="Technique"/>
    <m/>
    <s v="Ville d'Epinay-sur-Seine"/>
    <m/>
    <m/>
    <m/>
    <m/>
    <n v="40000"/>
    <n v="48000"/>
    <n v="40000"/>
    <n v="20000"/>
    <s v=""/>
    <n v="20000"/>
    <n v="0"/>
    <n v="0"/>
    <m/>
    <m/>
    <m/>
    <m/>
    <m/>
    <m/>
    <m/>
    <m/>
    <m/>
    <m/>
    <m/>
    <m/>
    <m/>
    <m/>
    <m/>
    <m/>
    <m/>
    <m/>
    <m/>
    <m/>
    <m/>
    <n v="0"/>
    <n v="0"/>
    <n v="0"/>
    <n v="0"/>
    <n v="0"/>
    <m/>
    <m/>
    <m/>
    <m/>
    <m/>
    <m/>
    <m/>
    <m/>
    <m/>
    <m/>
    <m/>
    <m/>
    <n v="0"/>
    <n v="0"/>
  </r>
  <r>
    <s v="EPINAY-SUR-SEINE"/>
    <s v="EP-ORG-02"/>
    <s v="DEF-EP-ORG-01"/>
    <x v="5"/>
    <s v="DDUS"/>
    <s v="QP093030"/>
    <m/>
    <s v="Orgemont - études préopérationnelles copropriété Oberürsel"/>
    <s v="Copro oberursel"/>
    <s v="Habitat"/>
    <s v="Logement"/>
    <s v="Plaine Commune"/>
    <m/>
    <s v="X"/>
    <m/>
    <s v="Placée sous administration judiciaire depuis 2010, la copropriété Oberürsel (composée de 30 étages) reste en grande difficulté.  Située au niveau du terminus du Tramway T8, elle est concernée par la réalisation d’espaces publics, et notamment pour l'aménagement d’un mail a minima piéton sur son parking afin de créer une liaison allant du parc Central d’Orgemont et de la rue de Strasbourg au terminus du Tramway.  Les limites nord de son foncier seraient aussi concernées. _x000d__x000a_Les études doivent mener à :_x000d__x000a_ - la définition d'une étude préopérationnelle copropriété et espaces extérieurs (compléter l'étude Habitat de 2014 y compris parking/stationnement) en lien avec l'étude urbaine._x000d__x000a_ - la définition de la stratégie d'intervention, des outils de redressement de la copropriété et de mise en œuvre du projet urbain_x000d__x000a_ - un estimatif des travaux de réhabilitation_x000d__x000a_ - un chiffrage des interventions de suivi - animation et de mise en oeuvre du projet + calendrier_x000d__x000a_ - la définition des modalités de mise en œuvre du projet global (droit de la copropriété, DUP…)"/>
    <n v="180000"/>
    <n v="216000"/>
    <n v="180000"/>
    <n v="0"/>
    <s v="subvention ANAH"/>
    <n v="0"/>
    <n v="45000"/>
    <n v="0"/>
    <m/>
    <m/>
    <m/>
    <m/>
    <m/>
    <m/>
    <m/>
    <m/>
    <m/>
    <m/>
    <m/>
    <m/>
    <m/>
    <m/>
    <m/>
    <m/>
    <m/>
    <m/>
    <n v="0"/>
    <m/>
    <m/>
    <n v="0"/>
    <n v="0"/>
    <n v="45000"/>
    <n v="0"/>
    <n v="90000"/>
    <n v="90000"/>
    <m/>
    <m/>
    <m/>
    <m/>
    <m/>
    <m/>
    <m/>
    <d v="2017-01-01T00:00:00"/>
    <n v="18"/>
    <n v="164"/>
    <n v="0"/>
    <n v="0"/>
    <n v="0"/>
  </r>
  <r>
    <s v="EPINAY-SUR-SEINE"/>
    <s v="EP-ORG-04"/>
    <s v="DEF-EP-ORG-02"/>
    <x v="5"/>
    <s v="Finance"/>
    <s v="QP093030"/>
    <m/>
    <s v="Orgemont - Etude géomètre des locaux commerciaux"/>
    <s v="Etude géomètre des locaux commerciaux"/>
    <s v="Technique"/>
    <s v="Equipements"/>
    <s v="Plaine Commune"/>
    <m/>
    <m/>
    <s v="X"/>
    <s v="Les locaux commerciaux situés le long de la rue Félix Merlin sont construits sur dalle, au niveau du parking de la copropriété Oberürsel. L'étude géomètre doit permettre de définir clairement les limites foncières préalablement à une intervention sur ces locaux."/>
    <n v="5000"/>
    <n v="6000"/>
    <n v="5000"/>
    <n v="2500"/>
    <s v="Partenaire de l'étude"/>
    <n v="0"/>
    <n v="1250"/>
    <n v="1250"/>
    <n v="1250"/>
    <m/>
    <m/>
    <m/>
    <m/>
    <m/>
    <m/>
    <m/>
    <m/>
    <m/>
    <m/>
    <m/>
    <m/>
    <m/>
    <m/>
    <m/>
    <m/>
    <m/>
    <m/>
    <m/>
    <m/>
    <n v="0"/>
    <n v="0"/>
    <n v="0"/>
    <n v="0"/>
    <n v="0"/>
    <m/>
    <m/>
    <m/>
    <m/>
    <m/>
    <m/>
    <m/>
    <m/>
    <d v="2016-03-16T00:00:00"/>
    <n v="1"/>
    <m/>
    <n v="0"/>
    <n v="0"/>
    <n v="0"/>
  </r>
  <r>
    <s v="EPINAY-SUR-SEINE"/>
    <s v="EP-ORG-05"/>
    <s v="DEF-EP-ORG-03"/>
    <x v="5"/>
    <m/>
    <s v="QP093030"/>
    <m/>
    <s v="Orgemont - Diagnostic bâti - estimation travaux"/>
    <m/>
    <s v="Habitat"/>
    <s v="Logement"/>
    <s v="SARVILEP"/>
    <m/>
    <m/>
    <s v="X"/>
    <s v="Ce diagnostic porte sur les 2214 logements patrimoine de la SARVILEP (Icade), dont les conditions de revente doivent être précisées. Ce patrimoine bâti n'a fait l'objet d'aucune intervention dans le cadre du PRU1._x000d__x000a_En lien avec l'étude urbaine qui sera menée sur le quartier, l'objet de ce diagnostic sera dans un premier temps de définir l'état et le fonctionnement du bâti (structure, réseaux, déchets)._x000d__x000a_Dans un second temps, il s'agira :_x000d__x000a_ - d'établir une estimation affinée d'un programme de réhabilitation / démolition,_x000d__x000a_-  de réaliser les études de sols (pollution, géotechnique) sur les sites appelés à reconstruction."/>
    <n v="750000"/>
    <n v="900000"/>
    <n v="750000"/>
    <n v="247500"/>
    <s v="Taux de participation de l'ANRU calculé sur la base d'un financement des 356 logements conventionnés à hauteur de 50% et de 1'858 logements déconventionnés à hauteur de 30%"/>
    <n v="0"/>
    <n v="0"/>
    <n v="502500"/>
    <n v="502500"/>
    <m/>
    <m/>
    <m/>
    <m/>
    <m/>
    <m/>
    <m/>
    <m/>
    <m/>
    <m/>
    <m/>
    <m/>
    <m/>
    <m/>
    <m/>
    <m/>
    <m/>
    <m/>
    <m/>
    <m/>
    <n v="0"/>
    <n v="0"/>
    <n v="0"/>
    <n v="0"/>
    <n v="0"/>
    <m/>
    <m/>
    <m/>
    <m/>
    <m/>
    <m/>
    <m/>
    <m/>
    <d v="2016-03-16T00:00:00"/>
    <n v="8"/>
    <n v="2214"/>
    <n v="0"/>
    <n v="0"/>
    <n v="0"/>
  </r>
  <r>
    <s v="EPINAY-SUR-SEINE"/>
    <s v="EP-ORG-06"/>
    <s v="DEF-EP-ORG-04"/>
    <x v="5"/>
    <m/>
    <s v="QP093030"/>
    <m/>
    <s v="Orgemont - Diagnostic bâti - estimation travaux"/>
    <m/>
    <s v="Habitat"/>
    <s v="Logement"/>
    <s v="Opievoy"/>
    <m/>
    <m/>
    <s v="X"/>
    <s v="L’atelier d’architecture, d’urbanisme et de paysage Treuttel-Garcias-Treuttel et associés, missionné en 2010, a produit un schéma directeur à long terme présenté aux partenaires fin 2011. TGT a présenté des orientations pour décliner ce schéma directeur dans des délais compatibles avec les échéances de l’ANRU. Ce scénario n’a été ni approfondi ni chiffré, ne disposant notamment pas des diagnostics techniques et sociaux nécessaires. Le patrimoine de l'OPIEVOY, &quot;impacté&quot; par ce schéma directeur, n'a pas fait l'objet de projet de rénovation urbaine dans le cadre du PRU1. Afin de venir compléter l'étude urbaine qu'il reste à mener sur le quartier et de définir un programme d'opération, il convient donc de mener des études pour : _x000d__x000a_ _x000d__x000a_- définir l'état du bâti,_x000d__x000a_- diagnostic amiante,_x000d__x000a_- estimer de manière affinée un programme de réhabilitation / démolition,_x000d__x000a_avec également des études de sols (pollution, géotechnique) sur les sites appelés à reconstruction."/>
    <n v="80000"/>
    <n v="96000"/>
    <n v="80000"/>
    <n v="40000"/>
    <m/>
    <n v="0"/>
    <n v="0"/>
    <n v="40000"/>
    <m/>
    <m/>
    <m/>
    <m/>
    <m/>
    <m/>
    <m/>
    <m/>
    <m/>
    <m/>
    <m/>
    <m/>
    <m/>
    <m/>
    <m/>
    <m/>
    <n v="40000"/>
    <m/>
    <m/>
    <m/>
    <m/>
    <n v="0"/>
    <n v="0"/>
    <n v="0"/>
    <n v="0"/>
    <n v="0"/>
    <m/>
    <m/>
    <m/>
    <m/>
    <m/>
    <m/>
    <m/>
    <m/>
    <d v="2016-03-16T00:00:00"/>
    <n v="8"/>
    <n v="404"/>
    <n v="0"/>
    <n v="0"/>
    <n v="0"/>
  </r>
  <r>
    <s v="EPINAY-SUR-SEINE"/>
    <s v="EP-ORG-07"/>
    <s v="DEF-EP-ORG-05"/>
    <x v="5"/>
    <m/>
    <s v="QP093030"/>
    <m/>
    <s v="Orgemont - Diagnostic réseaux (SARVILEP, Opievoy, Saiem)"/>
    <m/>
    <s v="Technique"/>
    <s v="Espaces extérieurs"/>
    <s v="ASL"/>
    <m/>
    <m/>
    <s v="X"/>
    <s v="Les espaces exterieurs du quartier Orgemont comportent un nombre important d'espaces privés à usage public. La gestion de ces espaces est confiée à une ASL par les trois principaux bailleurs propriétaires ( SARVILEP, OPIEVOY, SAIEM) et  les autres propriétaires (Commerces, copropriété)._x000d__x000a_Sur les espaces exterieurs il s'agira de :_x000d__x000a_ - définir l'état des réseaux (chauffage, concessionnaires) afin d'alimenter l'étude réseaux menée par Plaine Commune._x000d__x000a_ - de réaliser une estimation de travaux, en lien avec le projet urbain."/>
    <n v="300000"/>
    <n v="360000"/>
    <n v="300000"/>
    <n v="111000"/>
    <s v="part ANRU : 50% pour les logements conventionnés de l'OPIEVOY, de la SAIEM et une partie de ceux de la SARVILEP (1'024 logements) et 30% pour les logements non-conventionnés (SARVILEP et square des Crédos- 1'918 logts )"/>
    <n v="0"/>
    <n v="0"/>
    <n v="189000"/>
    <m/>
    <m/>
    <m/>
    <m/>
    <m/>
    <m/>
    <m/>
    <m/>
    <m/>
    <m/>
    <m/>
    <m/>
    <m/>
    <m/>
    <m/>
    <n v="189000"/>
    <m/>
    <m/>
    <m/>
    <m/>
    <m/>
    <n v="0"/>
    <n v="0"/>
    <n v="0"/>
    <n v="0"/>
    <n v="0"/>
    <m/>
    <m/>
    <m/>
    <m/>
    <m/>
    <m/>
    <m/>
    <m/>
    <d v="2016-03-16T00:00:00"/>
    <n v="4"/>
    <m/>
    <n v="0"/>
    <n v="0"/>
    <n v="0"/>
  </r>
  <r>
    <s v="EPINAY-SUR-SEINE"/>
    <s v="EP-ORG-08"/>
    <s v="DEF-EP-ORG-06"/>
    <x v="5"/>
    <m/>
    <s v="QP093030"/>
    <m/>
    <s v="Orgemont - Diagnostic bâti - réseaux"/>
    <m/>
    <s v="Habitat"/>
    <s v="Logement"/>
    <s v="Maison du CIL"/>
    <m/>
    <m/>
    <s v="X"/>
    <s v="Historique : Le patrimoine du secteur Gros Buisson a été racheté par Maison du CIL à Icade en 2012 et se compose de 495 logements répartis sur 10 bâtiments._x000d__x000a_Une première remise à niveau du patrimoine a été engagée par le bailleur (mise aux normes de l’électricité, changement des menuiseries), dont les travaux devraient s’achever fin 2016._x000d__x000a_ _x000d__x000a_Objectifs : Préciser l’état du patrimoine afin de poursuivre l’amélioration du bâti en s’inscrivant dans le cadre du NPNRU._x000d__x000a_ _x000d__x000a_Prestations attendues : Afin de venir compléter l'étude urbaine qu'il reste à mener sur le quartier et de définir un programme d'opération, il convient donc de mener des études pour définir l'état du bâti et des espaces extérieurs (diagnostic amiante, réseau) et  estimer un programme d’actions sur le patrimoine. _x000d__x000a_ _x000d__x000a_Calendrier : lancement des études techniques au premier semestre 2016."/>
    <n v="39355"/>
    <n v="47226"/>
    <n v="39355"/>
    <n v="19677"/>
    <s v="Plusieurs marchés"/>
    <n v="0"/>
    <n v="0"/>
    <n v="19677"/>
    <m/>
    <m/>
    <m/>
    <m/>
    <m/>
    <m/>
    <m/>
    <m/>
    <m/>
    <m/>
    <m/>
    <m/>
    <m/>
    <m/>
    <n v="19677"/>
    <m/>
    <m/>
    <m/>
    <m/>
    <m/>
    <m/>
    <n v="0"/>
    <n v="0"/>
    <n v="0"/>
    <n v="0"/>
    <n v="0"/>
    <m/>
    <m/>
    <m/>
    <m/>
    <m/>
    <m/>
    <m/>
    <m/>
    <d v="2016-03-16T00:00:00"/>
    <n v="12"/>
    <n v="495"/>
    <n v="0"/>
    <n v="1"/>
    <n v="1"/>
  </r>
  <r>
    <s v="EPINAY-SUR-SEINE"/>
    <s v="EP-ORG-09"/>
    <s v="DEF-EP-ORG-07"/>
    <x v="5"/>
    <m/>
    <s v="QP093030"/>
    <m/>
    <s v="Orgemont - Diagnosic bâti - réseau Cité Jardin"/>
    <m/>
    <s v="Habitat"/>
    <s v="Logement"/>
    <s v="NOVIGERE"/>
    <m/>
    <m/>
    <s v="X"/>
    <s v="Historique : située sur les communes  d’Argenteuil et d’Epinay sur Seine, la  Cité Jardin d'Orgemont a été construite en 1928 en réaction aux travers de l’industrialisation et sur des principes humanistes._x000d__x000a_La présence d'un bailleur unique a permis le maintien d’une qualité urbaine. La protection et la valorisation de ce patrimoine social constitue un enjeu important. C’est pourquoi une étude réalisée par le Conseil Départemental de la Seine-Saint-Denis en 2008 a permis une analyse des typologies architecturales et un certain nombre de préconisations sur le parc de logements individuels. _x000d__x000a_Depuis 2005, des réhabilitations ont été engagées sur quelques bâtiments de logements collectifs. Une intervention est désormais à prévoir sur les 127 pavillons, la démarche globale du projet consistant à valoriser le passé tout en s’intégrant à l’avenir et au projet global du quartier. Les bâtiments existants étant énergivores, le bailleur souhaite apporter un confort à ses locataires en isolant ces pavillons anciens (passage de l’étiquette G à l’étiquette C).  _x000d__x000a_ _x000d__x000a_Objectifs : Mieux connaitre l’état général du patrimoine, notamment mesurer sa performance énergétique et thermique, afin d’évaluer la stratégie patrimoniale à mettre en œuvre sur le secteur d’Epinay-sur-Seine et d’arbitrer sur le programme de réhabilitation envisagé, en lien avec le NPNRU du quartier d’Orgemont_x000d__x000a_ _x000d__x000a_Prestations attendues : Diagnostics amiantes et plombs. Diagnostics thermiques et relevés techniques nécessaires pour évaluer les possibilités d’intervention sur le bâti._x000d__x000a_ _x000d__x000a_Calendrier : Lancement des études techniques au 1er semestre 2016."/>
    <n v="47371"/>
    <n v="56845"/>
    <n v="47371"/>
    <n v="23685"/>
    <s v="Plusieurs marchés"/>
    <n v="0"/>
    <n v="0"/>
    <n v="23685"/>
    <m/>
    <m/>
    <m/>
    <m/>
    <m/>
    <m/>
    <m/>
    <m/>
    <m/>
    <m/>
    <m/>
    <m/>
    <m/>
    <n v="23685"/>
    <m/>
    <m/>
    <m/>
    <m/>
    <m/>
    <m/>
    <m/>
    <n v="0"/>
    <n v="0"/>
    <n v="0"/>
    <n v="0"/>
    <n v="0"/>
    <m/>
    <m/>
    <m/>
    <m/>
    <m/>
    <m/>
    <m/>
    <m/>
    <d v="2016-03-16T00:00:00"/>
    <n v="6"/>
    <n v="127"/>
    <n v="0"/>
    <n v="1"/>
    <n v="1"/>
  </r>
  <r>
    <s v="EPINAY-SUR-SEINE"/>
    <s v="EP-ORG-10"/>
    <s v="DEF-EP-ORG-08"/>
    <x v="5"/>
    <m/>
    <s v="QP093030"/>
    <m/>
    <s v="Orgemont - Diagnostic amiante voies privées (SARVILEP, Opievoy, Saiem)"/>
    <m/>
    <s v="Technique"/>
    <s v="Espaces extérieurs"/>
    <s v="ASL"/>
    <m/>
    <m/>
    <s v="X"/>
    <s v="Diagnostic amiante des voiries privées afin de chiffrer au mieux les opérations de requalification"/>
    <n v="166667"/>
    <n v="200000.4"/>
    <n v="166667"/>
    <n v="61667"/>
    <s v="part ANRU calculée sur la base d'un financement de 50% pour les logements conventionnés de l'OPIEVOY, SAIEM et une partie de ceux de la SARVILEP ( 1'024 logts) et de 30% pour les logements non conventionnés (SARVILEP et square des Crédos- 1'918 logts )"/>
    <n v="0"/>
    <n v="0"/>
    <n v="105000"/>
    <m/>
    <m/>
    <m/>
    <m/>
    <m/>
    <m/>
    <m/>
    <m/>
    <m/>
    <m/>
    <m/>
    <m/>
    <m/>
    <m/>
    <m/>
    <n v="105000"/>
    <m/>
    <m/>
    <m/>
    <m/>
    <m/>
    <n v="0"/>
    <n v="0"/>
    <n v="0"/>
    <n v="0"/>
    <n v="0"/>
    <m/>
    <m/>
    <m/>
    <m/>
    <m/>
    <m/>
    <m/>
    <m/>
    <d v="2016-03-16T00:00:00"/>
    <n v="6"/>
    <n v="2242"/>
    <n v="0"/>
    <n v="0"/>
    <n v="0"/>
  </r>
  <r>
    <s v="EPINAY-SUR-SEINE"/>
    <s v="EP-ORG-11"/>
    <s v="DEF-EP-ORG-09"/>
    <x v="5"/>
    <m/>
    <s v="QP093030"/>
    <m/>
    <s v="Orgemont - Diagnostic occupation sociale"/>
    <m/>
    <s v="Habitat"/>
    <s v="Logement"/>
    <s v="SARVILEP"/>
    <m/>
    <m/>
    <s v="X"/>
    <s v="- enquête des compositions familiales, niveaux de ressources, taux d'effort, reste à vivre, analyse des pratiques, modes de stationnement…)_x000d__x000a_ _x000d__x000a_Selon les conclusions de l'étude urbaine :_x000d__x000a_ - identification de besoins en accompagnement / relogements / MOUS relogement_x000d__x000a_ - estimation de l'impact des travaux sur les loyers et charges"/>
    <n v="110000"/>
    <n v="132000"/>
    <n v="110000"/>
    <n v="36300"/>
    <s v="Taux de participation de l'ANRU calculé sur la base d'un financement des 356 logements conventionnés à hauteur de 50% et de 1'858 logements déconventionnés à hauteur de 30%"/>
    <n v="0"/>
    <n v="0"/>
    <n v="73700"/>
    <n v="73700"/>
    <m/>
    <m/>
    <m/>
    <m/>
    <m/>
    <m/>
    <m/>
    <m/>
    <m/>
    <m/>
    <m/>
    <m/>
    <m/>
    <m/>
    <m/>
    <m/>
    <m/>
    <m/>
    <m/>
    <m/>
    <n v="0"/>
    <n v="0"/>
    <n v="0"/>
    <n v="0"/>
    <n v="0"/>
    <m/>
    <m/>
    <m/>
    <m/>
    <m/>
    <m/>
    <m/>
    <m/>
    <d v="2016-03-16T00:00:00"/>
    <n v="12"/>
    <n v="2214"/>
    <n v="0"/>
    <n v="0"/>
    <n v="0"/>
  </r>
  <r>
    <s v="EPINAY-SUR-SEINE"/>
    <s v="EP-ORG-12"/>
    <s v="DEF-EP-ORG-10"/>
    <x v="5"/>
    <m/>
    <s v="QP093030"/>
    <m/>
    <s v="Orgemont - Diagnostic occupation sociale"/>
    <m/>
    <s v="Habitat"/>
    <s v="Logement"/>
    <s v="Opievoy"/>
    <m/>
    <m/>
    <s v="X"/>
    <s v="Enquête sociale auprès des ménages des 404 logements de l'OPIEVOY ( composition familiale, niveau de ressources, taux d'effort, reste à vivre) permettant d'estimer l'impact des travaux sur les loyers et les charges."/>
    <n v="40000"/>
    <n v="48000"/>
    <n v="40000"/>
    <n v="20000"/>
    <m/>
    <n v="0"/>
    <n v="0"/>
    <n v="20000"/>
    <m/>
    <m/>
    <m/>
    <m/>
    <m/>
    <m/>
    <m/>
    <m/>
    <m/>
    <m/>
    <m/>
    <m/>
    <m/>
    <m/>
    <m/>
    <m/>
    <n v="20000"/>
    <m/>
    <m/>
    <m/>
    <m/>
    <n v="0"/>
    <n v="0"/>
    <n v="0"/>
    <n v="0"/>
    <n v="0"/>
    <m/>
    <m/>
    <m/>
    <m/>
    <m/>
    <m/>
    <m/>
    <m/>
    <d v="2016-03-16T00:00:00"/>
    <n v="9"/>
    <n v="404"/>
    <n v="0"/>
    <n v="0"/>
    <n v="0"/>
  </r>
  <r>
    <s v="EPINAY-SUR-SEINE"/>
    <s v="EP-ORG-13"/>
    <s v="DEF-EP-ORG-11"/>
    <x v="5"/>
    <m/>
    <s v="QP093030"/>
    <m/>
    <s v="Orgemont - Enquête sociale 'Gros Buisson'"/>
    <m/>
    <s v="Habitat"/>
    <s v="Logement"/>
    <s v="Maison du CIL"/>
    <m/>
    <m/>
    <s v="X"/>
    <s v="Enquête sociale auprès des ménages et études des usages des espaces exterieurs de la résidence Gros Buisson."/>
    <n v="35500"/>
    <n v="42600"/>
    <n v="35500"/>
    <n v="17750"/>
    <m/>
    <n v="0"/>
    <n v="0"/>
    <n v="17750"/>
    <m/>
    <m/>
    <m/>
    <m/>
    <m/>
    <m/>
    <m/>
    <m/>
    <m/>
    <m/>
    <m/>
    <m/>
    <m/>
    <m/>
    <n v="17750"/>
    <m/>
    <m/>
    <m/>
    <m/>
    <m/>
    <m/>
    <n v="0"/>
    <n v="0"/>
    <n v="0"/>
    <n v="0"/>
    <n v="0"/>
    <m/>
    <m/>
    <m/>
    <m/>
    <m/>
    <m/>
    <m/>
    <m/>
    <d v="2016-03-16T00:00:00"/>
    <n v="9"/>
    <n v="495"/>
    <n v="0"/>
    <n v="0"/>
    <n v="0"/>
  </r>
  <r>
    <s v="EPINAY-SUR-SEINE"/>
    <s v="EP-ORG-14"/>
    <s v="DEF-EP-ORG-12"/>
    <x v="5"/>
    <m/>
    <s v="QP093030"/>
    <m/>
    <s v="Orgemont - Diagnostic préopérationnel équipements Ville"/>
    <m/>
    <s v="Technique"/>
    <s v="Equipements"/>
    <s v="Ville d'Epinay-sur-Seine"/>
    <m/>
    <m/>
    <s v="X"/>
    <s v="Historique : les équipements publics du quartier d’Orgemont datent pour la plupart de la construction du quartier dans les années 1960 et sont aujourd’hui obsolètes, particulièrement les équipements scolaires. La Ville d’Epinay est engagée depuis quelques années dans une démarche vertueuse dans la construction ou réhabilitation de ses bâtiments. En effet, la mise en place de son Agenda 21 a permis de mettre en avant la nécessité d’intégrer systématiquement dans ses programmes de travaux la dimension énergétique._x000d__x000a_ _x000d__x000a_Objectifs : Ces études préalables doivent indiquer les dispositions à mettre en œuvre pour réhabiliter et restructurer les équipements publics du quartier, leur positionnement dans le quartier et l’état du bâti. Pour préparer au mieux ces restructurations, il est nécessaire de s’appuyer sur des études exemplaires qui mettent en avant l’aspect durable et énergétique des réhabilitations. En lien avec l’étude urbaine, ces études permettront d’évaluer le mode d’intervention les plus approprié pour chaque équipement._x000d__x000a_Sont notamment concernés les groupes scolaires (maternelle et primaire Jean-Jacques Rousseau 1 et 2 et son centre de loisirs, Anatole France primaire, Alexandre Dumas maternelle et primaire), le centre socioculturel Félix Merlin et son antenne rue d’Argenteuil, le gymnase Félix Merlin, soit au total une dizaine de bâtiments (7 écoles  + 1 centre socioculturel).  _x000d__x000a_ _x000d__x000a_Prestations attendues : _x000d__x000a_Les études préalables devront donc respecter le schéma suivant pour chaque bâtiment : _x000d__x000a_1ere phase : audit énergétique des bâtiments (suivant le cahier des charges de l’ADEME) :_x000d__x000a_Etablissement des bilans énergétiques et des scénarii de travaux _x000d__x000a_Evaluation de l’impact énergétique  suite à la réhabilitation _x000d__x000a_2ème phase : Etude de faisabilité d’intégration d’énergies renouvelables _x000d__x000a_3ème phase : Etablissement d’un programme de travaux  prenant en compte la part énergétique et les besoins intrinsèques liés à la vétusté du patrimoine et aux besoins de fonctionnement, et comprenant le chiffrage des différents  scénarii, l’appréciation de la durabilité de l’investissement et son impact sur la consommation énergétique._x000d__x000a_ _x000d__x000a_Calendrier : étude à lancer courant 2016"/>
    <n v="170000"/>
    <n v="204000"/>
    <n v="170000"/>
    <n v="85000"/>
    <m/>
    <n v="85000"/>
    <n v="0"/>
    <n v="0"/>
    <m/>
    <m/>
    <m/>
    <m/>
    <m/>
    <m/>
    <m/>
    <m/>
    <m/>
    <m/>
    <m/>
    <m/>
    <m/>
    <m/>
    <m/>
    <m/>
    <m/>
    <m/>
    <n v="0"/>
    <m/>
    <m/>
    <n v="0"/>
    <n v="0"/>
    <n v="0"/>
    <n v="0"/>
    <n v="0"/>
    <m/>
    <m/>
    <m/>
    <m/>
    <m/>
    <m/>
    <m/>
    <m/>
    <d v="2016-03-07T00:00:00"/>
    <n v="8"/>
    <m/>
    <n v="0"/>
    <n v="0"/>
    <n v="0"/>
  </r>
  <r>
    <s v="EPINAY-SUR-SEINE"/>
    <s v="EP-ORG-20"/>
    <s v="DEF-EP-ORG-13"/>
    <x v="5"/>
    <m/>
    <s v="QP093030"/>
    <m/>
    <s v="Orgemont - Diagnostic d'occupation sociale Cité Jardin"/>
    <m/>
    <s v="Habitat"/>
    <s v="Logement"/>
    <s v="NOVIGERE"/>
    <m/>
    <m/>
    <s v="X"/>
    <s v="Enquête sociale auprès des ménages des 127 pavillons : composition familiale, niveau de ressources, taux d'effort, reste à vivre, permettant d'estimer l'impact des travaux sur les loyers et les charges."/>
    <n v="6350"/>
    <n v="7620"/>
    <n v="6350"/>
    <n v="3175"/>
    <m/>
    <n v="0"/>
    <n v="0"/>
    <n v="3175"/>
    <m/>
    <m/>
    <m/>
    <m/>
    <m/>
    <m/>
    <m/>
    <m/>
    <m/>
    <m/>
    <m/>
    <m/>
    <m/>
    <n v="3175"/>
    <m/>
    <m/>
    <m/>
    <m/>
    <m/>
    <m/>
    <m/>
    <n v="0"/>
    <n v="0"/>
    <n v="0"/>
    <n v="0"/>
    <n v="0"/>
    <m/>
    <m/>
    <m/>
    <m/>
    <m/>
    <m/>
    <m/>
    <m/>
    <m/>
    <m/>
    <m/>
    <m/>
    <n v="0"/>
    <n v="0"/>
  </r>
  <r>
    <s v="EPINAY-SUR-SEINE"/>
    <s v="EP-SOU-02"/>
    <s v="DEF-EP-SOU-01"/>
    <x v="6"/>
    <m/>
    <s v="QP093031"/>
    <m/>
    <s v="La Source - Etude de concertation et communication - Réhabilitation de logements sociaux"/>
    <m/>
    <s v="Accompagnement"/>
    <s v="Accompagnement"/>
    <s v="ICF La Sablière"/>
    <m/>
    <m/>
    <s v="X"/>
    <s v="Dès la phrase pré-opérationnelle, ICF La Sablière souhaite :_x000d__x000a_- définir les modalités de participation, d'information et de concertation des habitants en cohérence avec celles prévues par le projet de Renouvellemet Urbain,_x000d__x000a_- actualiser et analyser les données socio-économiques,_x000d__x000a_- échanger avec les habitants sur leurs attentes._x000d__x000a_ _x000d__x000a_L'ensemble de ces données participera à la définition des études de programmation et de faisabilité."/>
    <n v="30000"/>
    <n v="36000"/>
    <n v="30000"/>
    <n v="15000"/>
    <m/>
    <n v="0"/>
    <n v="0"/>
    <n v="15000"/>
    <m/>
    <m/>
    <m/>
    <m/>
    <m/>
    <m/>
    <m/>
    <m/>
    <m/>
    <m/>
    <m/>
    <m/>
    <n v="15000"/>
    <m/>
    <m/>
    <m/>
    <m/>
    <m/>
    <m/>
    <m/>
    <m/>
    <n v="0"/>
    <n v="0"/>
    <n v="0"/>
    <n v="0"/>
    <n v="0"/>
    <m/>
    <m/>
    <m/>
    <m/>
    <m/>
    <m/>
    <m/>
    <m/>
    <d v="2016-03-16T00:00:00"/>
    <m/>
    <n v="587"/>
    <n v="0"/>
    <n v="0"/>
    <n v="0"/>
  </r>
  <r>
    <s v="EPINAY-SUR-SEINE"/>
    <s v="EP-SOU-04"/>
    <s v="DEF-EP-SOU-02"/>
    <x v="6"/>
    <m/>
    <s v="QP093031"/>
    <m/>
    <s v="La Source - Diagnostics techniques - logements sociaux"/>
    <m/>
    <s v="Habitat"/>
    <s v="Logement"/>
    <s v="ICF La Sablière"/>
    <m/>
    <m/>
    <s v="X"/>
    <s v="Les espaces extérieurs du site d'ICF La Sablière ont été largement requalifiés et résidentialisés dans le cadre PRU1. Aujourd'hui, la question de la réhabilitation de ce patrimoine se pose notamment pour répondre aux nouvelles normes techniques actuelles : amiante, plomb, isolation thermique... et à l'évolution des attentes des locataires. Dans  ce contexte, la réflexion sur la programmation des travaux doit s'engager sur la base d'un éventail de diagnostics techniques permettant d'appréhender l'ensemble des dysfonctionnements du site (logements et parties communes), en adéquation avec les nouveaux enjeux énergétiques/environnementaux, et les attentes des locataires. Sur cette base,  un ou plusieurs scénarii (études  de faisabilité) seront proposés à l'ensemble des habitants, et des  partenaires du  NPNRU."/>
    <n v="129996"/>
    <n v="155995"/>
    <n v="129996"/>
    <n v="64998"/>
    <s v="Plusieurs marchés"/>
    <n v="0"/>
    <n v="0"/>
    <n v="64998"/>
    <m/>
    <m/>
    <m/>
    <m/>
    <m/>
    <m/>
    <m/>
    <m/>
    <m/>
    <m/>
    <m/>
    <m/>
    <n v="64998"/>
    <m/>
    <m/>
    <m/>
    <m/>
    <m/>
    <m/>
    <m/>
    <m/>
    <n v="0"/>
    <n v="0"/>
    <n v="0"/>
    <n v="0"/>
    <n v="0"/>
    <m/>
    <m/>
    <m/>
    <m/>
    <m/>
    <m/>
    <m/>
    <m/>
    <d v="2016-03-16T00:00:00"/>
    <m/>
    <n v="587"/>
    <n v="0"/>
    <n v="0"/>
    <n v="0"/>
  </r>
  <r>
    <s v="EPINAY-SUR-SEINE"/>
    <s v="EP-SOU-05"/>
    <s v="DEF-EP-SOU-03"/>
    <x v="6"/>
    <m/>
    <s v="QP093031"/>
    <m/>
    <s v="La Source - Diagnostics techniques - rue du Commandant Louis Bouchet"/>
    <m/>
    <s v="Habitat"/>
    <s v="Logement"/>
    <s v="OGIF"/>
    <m/>
    <m/>
    <s v="X"/>
    <s v="Le 38/50 Commandant Louis Bouchet est un bâtiment de 175 logements (avec 30% de logements vacants) situé sur le quartier de La Source - Les Presles. _x000d__x000a_Non concerné par le PRU1, il s'agit ici de réaliser une étude en vue d'une réhabilitation complète des 175 logements avec résidentialisation et requalification des espaces extérieurs, avec toutefois une variante relative à la démolition d'une ou deux cages d'escaliers représentant 25 ou 50 logements. Le repositionnement des logements démolis se ferait rue Eugène  Delacroix (prolongement de l'allée des platanes). Une rétrocession du foncier libéré et de la voirie existante à Plaine Commune ou la Ville, en lien avec la requalification de la rue de la Justice, serait envisagée selon les conclusions de l'étude urbaine._x000d__x000a_ _x000d__x000a_L'étude est composée de diagnostics techniques : _x000d__x000a_- diagnostics amiante - parties privatives, parties communes, enrobé_x000d__x000a_- diagnostic déchets_x000d__x000a_- diagnostic réseau / concessionnaires (alimentation eau froide, EDF / GDF), collecteurs eaux usées, pluviales, chauffage collectif gaz _x000d__x000a_- diagnostic structure_x000d__x000a_- relevé géomètre (topographie et réseaux)"/>
    <n v="65275"/>
    <n v="78330"/>
    <n v="65275"/>
    <n v="19583"/>
    <s v="Plusieurs marchés"/>
    <n v="0"/>
    <n v="0"/>
    <n v="45692"/>
    <m/>
    <m/>
    <m/>
    <m/>
    <m/>
    <m/>
    <m/>
    <m/>
    <m/>
    <m/>
    <m/>
    <n v="45692"/>
    <m/>
    <m/>
    <m/>
    <m/>
    <m/>
    <m/>
    <m/>
    <m/>
    <m/>
    <n v="0"/>
    <n v="0"/>
    <n v="0"/>
    <n v="0"/>
    <n v="0"/>
    <m/>
    <m/>
    <m/>
    <m/>
    <m/>
    <m/>
    <m/>
    <m/>
    <d v="2016-03-16T00:00:00"/>
    <m/>
    <n v="175"/>
    <n v="0"/>
    <n v="0"/>
    <n v="0"/>
  </r>
  <r>
    <s v="EPINAY-SUR-SEINE"/>
    <s v="EP-SOU-06"/>
    <s v="DEF-EP-SOU-04"/>
    <x v="6"/>
    <m/>
    <s v="QP093031"/>
    <m/>
    <s v="La Source - Diagnostics techniques parking silo et friches environnantes"/>
    <m/>
    <s v="Technique"/>
    <s v="Espaces extérieurs"/>
    <s v="ICF La Sablière"/>
    <m/>
    <m/>
    <s v="X"/>
    <s v="La configuration actuelle du parking silo est obsolète. Il est enclavé et représente une barrière physique et visuelle de l'ilot. En fonction des résultats des diagnotics techniques menés, ainsi que par l'étude urbaine, il pourrait être envisagé, d'une part, de le démolir, et d'autre part, de construire sur cette nouvelle emprise foncière  un programme de logements devant s'insérer dans un schéma global urbain cohérent de l'ilot. Pour cela, il est nécessaire de disposer d'éléments techniques factuels pour permettre d'envisager la stratégie la mieux adaptée, confirmer/adapter les éléments de programmation compte tenu de la spécificité du site, répondre aux demandes des habitants et du projet urbain. Sur cette base, un ou plusieurs scénarii (études de faisabilité) d'aménagement seront élaborés, en prenant en compte son environnement direct (friches adjacentes)."/>
    <n v="61400"/>
    <n v="73680"/>
    <n v="61400"/>
    <n v="30700"/>
    <s v="Plusieurs marchés"/>
    <n v="0"/>
    <n v="0"/>
    <n v="30700"/>
    <m/>
    <m/>
    <m/>
    <m/>
    <m/>
    <m/>
    <m/>
    <m/>
    <m/>
    <m/>
    <m/>
    <m/>
    <n v="30700"/>
    <m/>
    <m/>
    <m/>
    <m/>
    <m/>
    <m/>
    <m/>
    <m/>
    <n v="0"/>
    <n v="0"/>
    <n v="0"/>
    <n v="0"/>
    <n v="0"/>
    <m/>
    <m/>
    <m/>
    <m/>
    <m/>
    <m/>
    <m/>
    <m/>
    <d v="2016-03-16T00:00:00"/>
    <m/>
    <m/>
    <n v="0"/>
    <n v="0"/>
    <n v="0"/>
  </r>
  <r>
    <s v="EPINAY-SUR-SEINE"/>
    <s v="EP-SOU-08"/>
    <s v="DEF-EP-SOU-05"/>
    <x v="6"/>
    <m/>
    <s v="QP093031"/>
    <m/>
    <s v="La Source - Diagnostics techniques - rue de la Justice"/>
    <m/>
    <s v="Habitat"/>
    <s v="Logement"/>
    <s v="Logement Francilien"/>
    <m/>
    <m/>
    <s v="X"/>
    <s v="Construite dans les années 60, la résidence Les Presles Maupas est située à l’extrême nord du quartier La Source-Les Presles. Non traité dans le cadre du PNRU 1, ce site nécessite aujourd’hui d’importants travaux de réhabilitation, et l’opportunité d’une démolition totale ou partielle doit être étudiée._x000d__x000a_ _x000d__x000a_Au stade de préfiguration de la future convention ANRU, il est primordial de réaliser : un diagnostic technique global de ce patrimoine afin d’évaluer l’état général des bâtiments (clos, couvert, équipements des parties communes et logements…), et de mesurer leur performance énergétique et thermique ; et/ou une étude de maîtrise d’œuvre avant démolition._x000d__x000a_ _x000d__x000a_En définitive, les études techniques engagées sur ce secteur, permettront d’effectuer un arbitrage progressif, requalification ou démolition éventuelle, sur ce patrimoine en fonction des équilibres techniques et économiques du futur projet, et en s’appuyant sur l’étude urbaine du secteur."/>
    <n v="90000"/>
    <n v="108000"/>
    <n v="90000"/>
    <n v="45000"/>
    <m/>
    <n v="0"/>
    <n v="0"/>
    <n v="45000"/>
    <m/>
    <m/>
    <m/>
    <m/>
    <m/>
    <m/>
    <m/>
    <m/>
    <m/>
    <m/>
    <n v="45000"/>
    <m/>
    <m/>
    <m/>
    <m/>
    <m/>
    <m/>
    <m/>
    <m/>
    <m/>
    <m/>
    <n v="0"/>
    <n v="0"/>
    <n v="0"/>
    <n v="0"/>
    <n v="0"/>
    <m/>
    <m/>
    <m/>
    <m/>
    <m/>
    <m/>
    <m/>
    <m/>
    <d v="2016-03-16T00:00:00"/>
    <n v="10"/>
    <n v="285"/>
    <n v="0"/>
    <n v="0"/>
    <n v="0"/>
  </r>
  <r>
    <s v="EPINAY-SUR-SEINE"/>
    <s v="EP-SOU-09"/>
    <s v="DEF-EP-SOU-06"/>
    <x v="6"/>
    <m/>
    <s v="QP093031"/>
    <m/>
    <s v="La Source - Diagnostics techniques - Centre commercial rue de la Justice"/>
    <m/>
    <s v="Technique"/>
    <s v="Equipements"/>
    <s v="OGIF"/>
    <m/>
    <m/>
    <s v="X"/>
    <s v="Situé au cœur du quartier de La Source-Les Presles, le Centre commercial fait aujourd'hui l'objet de nombreux dysfonctionnements urbains. _x000d__x000a_ _x000d__x000a_L'étude doit permettre de voir dans quelle mesure une démolition complète du Centre commercial ou restructuration de celui-ci est envisageable. En cas de démolition, cela engendrerait des évictions partielles et transfert des commerçants, redimensionnement des cellules commerciales, modification du stationnement et étude d'une densification urbaine avec la construction des logements au-dessus du centre._x000d__x000a_ _x000d__x000a_Pour cela sont nécessaires : _x000d__x000a_- une évaluation des indemnités d'éviction et des valeurs locatives par un cabinet expert _x000d__x000a_- des diagnostics enrobé, réseaux, amiante - bâtiment, _x000d__x000a_- un relevé géomètre _x000d__x000a_ _x000d__x000a_Cette étude se fera en lien avec l'étude commerce pilotée par Plaine Commune à l'échelle du quartier."/>
    <n v="70000"/>
    <n v="84000"/>
    <n v="70000"/>
    <n v="21000"/>
    <s v="Plusieurs marchés"/>
    <n v="0"/>
    <n v="0"/>
    <n v="49000"/>
    <m/>
    <m/>
    <m/>
    <m/>
    <m/>
    <m/>
    <m/>
    <m/>
    <m/>
    <m/>
    <m/>
    <n v="49000"/>
    <m/>
    <m/>
    <m/>
    <m/>
    <m/>
    <m/>
    <m/>
    <m/>
    <m/>
    <n v="0"/>
    <n v="0"/>
    <n v="0"/>
    <n v="0"/>
    <n v="0"/>
    <m/>
    <m/>
    <m/>
    <m/>
    <m/>
    <m/>
    <m/>
    <m/>
    <d v="2016-03-16T00:00:00"/>
    <m/>
    <m/>
    <n v="0"/>
    <n v="0"/>
    <n v="0"/>
  </r>
  <r>
    <s v="EPINAY-SUR-SEINE"/>
    <s v="EP-SOU-10"/>
    <s v="DEF-EP-SOU-07"/>
    <x v="6"/>
    <m/>
    <s v="QP093031"/>
    <m/>
    <s v="La Source - Diagnostic occupation sociale"/>
    <m/>
    <s v="Habitat"/>
    <s v="Logement"/>
    <s v="OGIF"/>
    <m/>
    <m/>
    <s v="X"/>
    <s v="Une enquête sociale permettra de prendre en compte, entre autres : la capacité financière  des habitants (ressources, reste à vivre)dans la définition du projet de réhabilitation du 38-50 Cdt Louis Bouchet ou de relogements dans une optique de diversité de l'habitat."/>
    <n v="7000"/>
    <n v="8400"/>
    <n v="7000"/>
    <n v="2100"/>
    <m/>
    <n v="0"/>
    <n v="0"/>
    <n v="4900"/>
    <m/>
    <m/>
    <m/>
    <m/>
    <m/>
    <m/>
    <m/>
    <m/>
    <m/>
    <m/>
    <m/>
    <n v="4900"/>
    <m/>
    <m/>
    <m/>
    <m/>
    <m/>
    <m/>
    <m/>
    <m/>
    <m/>
    <n v="0"/>
    <n v="0"/>
    <n v="0"/>
    <n v="0"/>
    <n v="0"/>
    <m/>
    <m/>
    <m/>
    <m/>
    <m/>
    <m/>
    <m/>
    <m/>
    <d v="2016-03-16T00:00:00"/>
    <n v="9"/>
    <n v="175"/>
    <n v="0"/>
    <n v="0"/>
    <n v="0"/>
  </r>
  <r>
    <s v="EPINAY-SUR-SEINE"/>
    <s v="EP-SOU-11"/>
    <s v="DEF-EP-SOU-08"/>
    <x v="6"/>
    <m/>
    <s v="QP093031"/>
    <m/>
    <s v="La Source - Diagnostic occupation sociale"/>
    <m/>
    <s v="Habitat"/>
    <s v="Logement"/>
    <s v="ICF La Sablière"/>
    <m/>
    <m/>
    <s v="X"/>
    <s v="Enquête sociale auprès des ménages des 587 logements d'ICF La Sablière :  composition familiale, niveau de ressources, taux d'effort, reste à vivre) permettant d'estimer l'impact des travaux sur les loyers et les charges."/>
    <n v="30000"/>
    <n v="36000"/>
    <n v="30000"/>
    <n v="15000"/>
    <m/>
    <n v="0"/>
    <n v="0"/>
    <n v="15000"/>
    <m/>
    <m/>
    <m/>
    <m/>
    <m/>
    <m/>
    <m/>
    <m/>
    <m/>
    <m/>
    <m/>
    <m/>
    <n v="15000"/>
    <m/>
    <m/>
    <m/>
    <m/>
    <m/>
    <m/>
    <m/>
    <m/>
    <n v="0"/>
    <n v="0"/>
    <n v="0"/>
    <n v="0"/>
    <n v="0"/>
    <m/>
    <m/>
    <m/>
    <m/>
    <m/>
    <m/>
    <m/>
    <m/>
    <d v="2016-03-16T00:00:00"/>
    <n v="9"/>
    <n v="587"/>
    <n v="0"/>
    <n v="0"/>
    <n v="0"/>
  </r>
  <r>
    <s v="EPINAY-SUR-SEINE"/>
    <s v="EP-SOU-16"/>
    <s v="DEF-EP-SOU-09"/>
    <x v="6"/>
    <s v="PCH"/>
    <m/>
    <m/>
    <s v="Diagnostic occupation sociale bâtiment K"/>
    <s v="Diagnostic Social"/>
    <s v="Habitat"/>
    <s v="Logement"/>
    <s v="PCH"/>
    <m/>
    <m/>
    <s v="X"/>
    <s v="Une enquête sociale permettra de prendre en compte, entre autres, la capacité financière  des habitants (ressources, reste à vivre) dans la définition des projets de réhabilitation ou de relogements dans une optique de diversité de l'habitat ."/>
    <n v="11616"/>
    <n v="13939"/>
    <n v="11616"/>
    <n v="5808"/>
    <m/>
    <n v="0"/>
    <n v="0"/>
    <n v="5808"/>
    <m/>
    <m/>
    <m/>
    <m/>
    <m/>
    <m/>
    <m/>
    <m/>
    <m/>
    <n v="5808"/>
    <m/>
    <m/>
    <m/>
    <m/>
    <m/>
    <m/>
    <m/>
    <m/>
    <m/>
    <m/>
    <m/>
    <n v="0"/>
    <n v="0"/>
    <n v="0"/>
    <n v="0"/>
    <n v="0"/>
    <m/>
    <m/>
    <m/>
    <m/>
    <m/>
    <m/>
    <m/>
    <m/>
    <d v="2016-03-16T00:00:00"/>
    <n v="6"/>
    <n v="96"/>
    <n v="0"/>
    <n v="0"/>
    <n v="0"/>
  </r>
  <r>
    <s v="EPINAY-SUR-SEINE"/>
    <s v="EP-SOU-17"/>
    <s v="DEF-EP-SOU-10"/>
    <x v="6"/>
    <s v="PCH"/>
    <m/>
    <m/>
    <s v="Diagnostics techniques (bâti, réseaux, amiante)- bâtiment K"/>
    <s v="Diagnostic technique"/>
    <s v="Technique"/>
    <s v="Logement"/>
    <s v="PCH"/>
    <m/>
    <m/>
    <s v="X"/>
    <s v="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
    <n v="36931"/>
    <n v="44317"/>
    <n v="36931"/>
    <n v="18466"/>
    <m/>
    <n v="0"/>
    <n v="0"/>
    <n v="18466"/>
    <m/>
    <m/>
    <m/>
    <m/>
    <m/>
    <m/>
    <m/>
    <m/>
    <m/>
    <n v="18466"/>
    <m/>
    <m/>
    <m/>
    <m/>
    <m/>
    <m/>
    <m/>
    <m/>
    <m/>
    <m/>
    <m/>
    <n v="0"/>
    <n v="0"/>
    <n v="0"/>
    <n v="0"/>
    <n v="0"/>
    <m/>
    <m/>
    <m/>
    <m/>
    <m/>
    <m/>
    <m/>
    <m/>
    <d v="2016-03-16T00:00:00"/>
    <n v="8"/>
    <n v="96"/>
    <n v="0"/>
    <n v="-1"/>
    <n v="-1"/>
  </r>
  <r>
    <s v="EPINAY-SUR-SEINE"/>
    <s v="EP-ORG-01"/>
    <s v="DEF-EP-TRANS-01"/>
    <x v="7"/>
    <s v="DDUS"/>
    <s v="QP093030"/>
    <s v="EP-ORG-01 / EP-SOU-01"/>
    <s v="Orgemont - Etude urbaine"/>
    <s v="Etudes urbaines"/>
    <s v="Urbaine"/>
    <s v="Etudes stratégiques"/>
    <s v="Plaine Commune"/>
    <m/>
    <m/>
    <s v="X"/>
    <s v="Historique : Cette étude s'inscrit dans la continuité du PRU1 d'Orgemont qui est notamment intervenu sur les espaces publics, avec la création d'un nouveau parc central et requalification de plusieurs voiries, et a permis d'accueillir des programmes de constructions neuves de logements diversifiés (logements sociaux, accessions à la propriété, foyer). Une étude urbaine a été menée en 2012 en préfiguration d'un éventuel nouveau programme de rénovation urbaine qu'il s'agit aujourd'hui de réinterroger et rendre opérationnel. _x000d__x000a_ _x000d__x000a_Objectifs : Sur un périmètre de 80ha accueillant environ 4500 logements, l’étude demandée doit permettre de définir un programme opérationnel qui a manqué pour le PRU 1, notamment en ce qui concerne les interventions sur les logements. Cette étude s'appuira sur des diagnostics techniques du patrimoine de logements, principalement celui d’ICADE.  De plus, l’arrivée de la TEN et du T8 implique une réflexion sur le pôle gare et l’accompagnement de la mise en place d’un transport lourd desservant le quartier, dans un contexte complexe (mutabilité foncière, accessibilité, question du parking d’intérêt régional,…)._x000d__x000a_Il s'agira donc d'élaborer une stratégie urbaine d'ensemble adossée à une programmation réaliste s'appuyant sur un bilan financier permettant :_x000d__x000a_- d'améliorer l’accessibilité de ce quartier appelé à être l’extension du Centre-ville en termes de développement,_x000d__x000a_- de désenclaver les secteurs, clarifier les limites publiques et privées, _x000d__x000a_- de générer une nouvelle attractivité, une nouvelle dynamique et offrir une nouvelle image au quartier,_x000d__x000a_- de diversifier l’habitat, ce qui doit passer par des actions fortes sur le logement (démolitions – reconstructions), et de requalifier le patrimoine maintenu tant public que privé,_x000d__x000a_- de restructurer l’offre commerciale et permettre le développement d’activités,_x000d__x000a_- de répondre aux besoins en équipements, proposer un programme attractif d’espaces et d’équipements,_x000d__x000a_- de viser l’efficacité énergétique et contribuer à la transition écologique des quartiers._x000d__x000a_ _x000d__x000a_Prestations attendues : actualisation du schéma d'ensemble, programme prévisionnel des constructions et faisabilité urbaine et architecturale, programme des aménagements et des équipements publics,  prescriptions urbaines, paysagères et architecturales, programme de restructuration des l'offres de logements (démolitions/reconstruction, nouvelles constructions, typologie des logements...), proposition de montage opérationnel. _x000d__x000a_La mission prévoit une tranche conditionnelle de suivi urbain pour accompagner les projets des différentes maîtrises d'ouvrage qui sera à inscrire dans le cadre de la convention._x000d__x000a_ _x000d__x000a_Calendrier : Lancement de l'étude au premier semestre 2016."/>
    <n v="250000"/>
    <n v="300000"/>
    <n v="250000"/>
    <n v="125000"/>
    <s v="Bailleurs : au prorata du patrimoine"/>
    <n v="0"/>
    <n v="62500"/>
    <n v="62500"/>
    <n v="38913"/>
    <m/>
    <m/>
    <m/>
    <m/>
    <m/>
    <m/>
    <m/>
    <m/>
    <m/>
    <m/>
    <m/>
    <m/>
    <n v="3146"/>
    <n v="8700"/>
    <m/>
    <n v="7101"/>
    <n v="4640"/>
    <m/>
    <m/>
    <m/>
    <n v="0"/>
    <n v="0"/>
    <n v="0"/>
    <n v="0"/>
    <n v="0"/>
    <m/>
    <m/>
    <m/>
    <m/>
    <m/>
    <m/>
    <m/>
    <m/>
    <d v="2016-04-02T00:00:00"/>
    <n v="18"/>
    <m/>
    <n v="0"/>
    <n v="0"/>
    <n v="0"/>
  </r>
  <r>
    <s v="EPINAY-SUR-SEINE"/>
    <s v="EP-SOU-01"/>
    <s v="DEF-EP-TRANS-01"/>
    <x v="7"/>
    <s v="DDUS"/>
    <s v="QP093031"/>
    <s v="EP-ORG-01 / EP-SOU-01"/>
    <s v="La Source - Etude urbaine"/>
    <s v="Etudes urbaines"/>
    <s v="Urbaine"/>
    <s v="Etudes stratégiques"/>
    <s v="Plaine Commune"/>
    <m/>
    <m/>
    <s v="X"/>
    <s v="Historique : Cette étude s'inscrit dans la continuité du premier PRU du quartier qui a notamment permis de remailler en espaces publics le secteur La Source, de requalifier l'offre d'équipements publics (scolaire, socio-culturelle) et d'entamer une modernisation de l'offre de logements qui doit être mise en œuvre d'ici la fin du PRU1 (PCH, Batiplaine, CAPS). Dans la perspective du NPNRU, des études de faisabilité sur certains secteurs ont montré des potentiels de mutation urbaine afin de poursuivre le désenclavement de l’ensemble du quartier (La Source - Les Presles), de conforter l'offre commerciale, de diversifier l'offre de logements et d'améliorer le fonctionnement urbain du quartier._x000d__x000a_ _x000d__x000a_Objectifs : L’étude urbaine pour le NPNRU vise l’élaboration d’une stratégie urbaine d'ensemble adossée à une programmation réaliste permettant :_x000d__x000a_- d'améliorer l’accessibilité des secteurs et accroître la mobilité des habitants par un renforcement de l’ouverture et du maillage du quartier, _x000d__x000a_- de répondre à une nouvelle dynamique de quartier, via la consolidation d’une centralité de quartier s’appuyant sur une restructuration commerciale et urbaine,_x000d__x000a_- d'offrir une nouvelle image au quartier par les aménagements et des constructions neuves, _x000d__x000a_- de diversifier l’habitat et proposer une mixité typologique de logements pour accompagner les parcours résidentiels,_x000d__x000a_- de démolir les bâtiments, parties d’immeubles et ouvrages obérant la restructuration significative du quartier,_x000d__x000a_- de viser l’efficacité énergétique et contribuer à la transition écologique des quartiers._x000d__x000a_ _x000d__x000a_La définition du schéma directeur se fera en articulation avec les objectifs du Plan de Sauvegarde du Clos des Sansonnets et l’étude urbaine de développement et de restructuration urbaine autour de la Gare d'Epinay-Villetaneuse et de la Route de Saint-Leu (développement à vocation majoritairement économique et programme de rénovation urbaine sur le quartier de Saint-Leu à Villetaneuse). _x000d__x000a_Il servira ainsi de base pour les partenariats de projets avec les différents acteurs concernés (bailleurs, collectivités, copropriété), et permettra également de consolider les projets menés dans le cadre du PRU1 en les intégrant dans une nouvelle échelle de projet élargie à l'ensemble du quartier. _x000d__x000a_ _x000d__x000a_Prestations attendues :_x000d__x000a_Diagnostic identifiant les potentiels et les opportunités urbaines, résidentielles, économiques et commerciales._x000d__x000a_Définition d’un schéma d'ensemble, programme prévisionnel des constructions et faisabilités urbaines et architecturales, programme des aménagements et des équipements publics,  programme de restructuration de l'offre de logements (démolitions/reconstruction, nouvelles constructions, typologie des logements...), proposition de montage opérationnel, prescriptions urbaines, paysagères et architecturales. _x000d__x000a_La mission comprend une tranche conditionnelle de suivi urbain pour coordonner et accompagner les projets des différentes maîtrises d'ouvrage dans l'optique d'un conventionnement futur._x000d__x000a_ _x000d__x000a_Calendrier : Lancement de l'étude au premier semestre 2016."/>
    <n v="150000"/>
    <n v="180000"/>
    <n v="150000"/>
    <n v="75000"/>
    <s v="Bailleurs : au prorata du patrimoine"/>
    <n v="0"/>
    <n v="37500"/>
    <n v="37500"/>
    <m/>
    <m/>
    <m/>
    <m/>
    <m/>
    <m/>
    <m/>
    <m/>
    <m/>
    <n v="3150"/>
    <n v="9350"/>
    <n v="5741"/>
    <n v="19259"/>
    <m/>
    <m/>
    <m/>
    <m/>
    <m/>
    <m/>
    <m/>
    <m/>
    <n v="0"/>
    <n v="0"/>
    <n v="0"/>
    <n v="0"/>
    <n v="0"/>
    <m/>
    <m/>
    <m/>
    <m/>
    <m/>
    <m/>
    <m/>
    <m/>
    <d v="2016-04-01T00:00:00"/>
    <n v="12"/>
    <m/>
    <n v="0"/>
    <n v="0"/>
    <n v="0"/>
  </r>
  <r>
    <s v="EPINAY-SUR-SEINE"/>
    <s v="EP-TRAN-02"/>
    <s v="DEF-EP-TRANS-02"/>
    <x v="7"/>
    <m/>
    <m/>
    <m/>
    <s v="Animation de la Maison des  projets"/>
    <m/>
    <s v="Accompagnement"/>
    <s v="Accompagnement"/>
    <s v="Ville d'Epinay-sur-Seine"/>
    <m/>
    <m/>
    <s v="X"/>
    <s v="La Ville d’Épinay-sur-Seine poursuivra l’accompagnement initié dans le cadre du premier programme de rénovation urbaine via la mise en place de différents outils et actions de communication via la maison des projets, tant imprimés (journal du projet, dépliants, plaquettes, flyers info-travaux, expositions, signalétique) que digitaux (site internet, réseaux sociaux) ou événementiels (visites de chantiers, inaugurations, réunions publiques)._x000d__x000a_De plus, la Ville d’Épinay-sur-Seine mettra en place à compter de 2016 une interface sur son site internet permettant aux internautes de découvrir les projets urbains en 3D, afin de faciliter l'échange lors de la co-construction"/>
    <n v="150000"/>
    <n v="180000"/>
    <n v="150000"/>
    <n v="75000"/>
    <m/>
    <n v="75000"/>
    <n v="0"/>
    <n v="0"/>
    <m/>
    <m/>
    <m/>
    <m/>
    <m/>
    <m/>
    <m/>
    <m/>
    <m/>
    <m/>
    <m/>
    <m/>
    <m/>
    <m/>
    <m/>
    <m/>
    <m/>
    <m/>
    <m/>
    <m/>
    <m/>
    <n v="0"/>
    <n v="0"/>
    <n v="0"/>
    <n v="0"/>
    <n v="0"/>
    <m/>
    <m/>
    <m/>
    <m/>
    <m/>
    <m/>
    <m/>
    <m/>
    <d v="2016-03-07T00:00:00"/>
    <n v="24"/>
    <m/>
    <n v="0"/>
    <n v="0"/>
    <n v="0"/>
  </r>
  <r>
    <s v="EPINAY-SUR-SEINE"/>
    <s v="EP-TRAN-01"/>
    <s v="DEF-EP-TRANS-03"/>
    <x v="7"/>
    <m/>
    <m/>
    <m/>
    <s v="AMO co-construction du projet avec les habitants"/>
    <m/>
    <s v="Accompagnement"/>
    <s v="Accompagnement"/>
    <s v="Ville d'Epinay-sur-Seine"/>
    <m/>
    <m/>
    <s v="X"/>
    <s v="Engagement d’une AMO pour la mise en place de la co-construction à l’échelle des 3 quartiers, comportant 2 phases : définition des modalités de la co-construction et l’animation de la co-construction."/>
    <n v="160000"/>
    <n v="192000"/>
    <n v="160000"/>
    <n v="80000"/>
    <m/>
    <n v="80000"/>
    <n v="0"/>
    <n v="0"/>
    <m/>
    <m/>
    <m/>
    <m/>
    <m/>
    <m/>
    <m/>
    <m/>
    <m/>
    <m/>
    <m/>
    <m/>
    <m/>
    <m/>
    <m/>
    <m/>
    <m/>
    <m/>
    <m/>
    <m/>
    <m/>
    <n v="0"/>
    <n v="0"/>
    <n v="0"/>
    <n v="0"/>
    <n v="0"/>
    <m/>
    <m/>
    <m/>
    <m/>
    <m/>
    <m/>
    <m/>
    <m/>
    <d v="2016-03-16T00:00:00"/>
    <n v="7"/>
    <m/>
    <n v="0"/>
    <n v="0"/>
    <n v="0"/>
  </r>
  <r>
    <s v="EPINAY-SUR-SEINE"/>
    <s v="EP-TRAN-03"/>
    <s v="DEF-EP-TRANS-04"/>
    <x v="7"/>
    <s v="Finance"/>
    <m/>
    <s v="EP-TRAN-03 / EP-TRAN-04"/>
    <s v="Etude prospective sur les potentiels économiques et leurs leviers"/>
    <s v="Etudes dev éco"/>
    <s v="Économique"/>
    <s v="Etudes stratégiques"/>
    <s v="Plaine Commune"/>
    <m/>
    <m/>
    <s v="X"/>
    <s v="Historique : La prorogation des dispositifs d'exonération à Epinay (ZFU-Quartier Entrepreneur) a conduit à questionner l'impact de cet outil et plus largement à réinterroger les potentiels de développement économique à l'échelle des quartiers et de la ville.  Un diagnostic global a été initié. _x000d__x000a_ _x000d__x000a_Objectifs : Compléter le diagnostic réalisé et définir une stratégie et un programme d'actions en faveur du développement des activités et des emplois dans les quartiers et pour leurs habitants._x000d__x000a_ _x000d__x000a_Prestations attendues :  Expertise juridique, financière, économique pour définir les outils à mettre en oeuvre._x000d__x000a_ _x000d__x000a_Calendrier : Lancement de l'étude au premier semestre 2016."/>
    <n v="50000"/>
    <n v="60000"/>
    <n v="50000"/>
    <n v="0"/>
    <m/>
    <n v="0"/>
    <n v="25000"/>
    <n v="0"/>
    <m/>
    <m/>
    <m/>
    <m/>
    <m/>
    <m/>
    <m/>
    <m/>
    <m/>
    <m/>
    <m/>
    <m/>
    <m/>
    <m/>
    <m/>
    <m/>
    <m/>
    <m/>
    <m/>
    <m/>
    <m/>
    <n v="25000"/>
    <n v="0"/>
    <n v="0"/>
    <n v="0"/>
    <n v="0"/>
    <m/>
    <m/>
    <m/>
    <m/>
    <m/>
    <m/>
    <m/>
    <m/>
    <d v="2016-03-16T00:00:00"/>
    <n v="3"/>
    <m/>
    <n v="0"/>
    <n v="0"/>
    <n v="0"/>
  </r>
  <r>
    <s v="EPINAY-SUR-SEINE"/>
    <s v="EP-TRAN-04"/>
    <s v="DEF-EP-TRANS-04"/>
    <x v="7"/>
    <s v="Finance"/>
    <m/>
    <s v="EP-TRAN-03 / EP-TRAN-04"/>
    <s v="Etude développement de l'activité et de l'économie sociale et solidaire sur les locaux commerciaux et en pied d'immeuble"/>
    <s v="Etudes dev éco"/>
    <s v="Économique"/>
    <s v="Etudes stratégiques"/>
    <s v="Plaine Commune"/>
    <m/>
    <m/>
    <s v="X"/>
    <s v="Cette étude est à mener en lien  étroit avec l'étude commerces menée sur les quartiers Orgemont , La Source et le Centre-ville. Il s'agit d'effectuer un diagnostic de l'activité en secteur PRU ainsi qu'un état des lieux de l'ESS et de l'artisanat à l'échelle des quartiers et de la ville d'Epinay-sur-Seine._x000d__x000a_ _x000d__x000a_Il est attendu également  :_x000d__x000a_ _x000d__x000a_-des propositions de restructuration de locaux (commerciaux, pied d'immeuble) en fonction de la nouvelle programmation urbaine et en lien avec l'étude commerces. _x000d__x000a_-des propositions relatives au développement de l'ESS et d'activités d'art à partir des artisans déjà présents._x000d__x000a_-une définition des activités artisanales de production ou de service en fonction des surfaces des lots, de leur accessibilité et des hauteurs des lots retenus."/>
    <n v="45000"/>
    <n v="54000"/>
    <n v="45000"/>
    <n v="0"/>
    <m/>
    <n v="0"/>
    <n v="22500"/>
    <n v="0"/>
    <m/>
    <m/>
    <m/>
    <m/>
    <m/>
    <m/>
    <m/>
    <m/>
    <m/>
    <m/>
    <m/>
    <m/>
    <m/>
    <m/>
    <m/>
    <m/>
    <m/>
    <m/>
    <m/>
    <m/>
    <m/>
    <n v="22500"/>
    <n v="0"/>
    <n v="0"/>
    <n v="0"/>
    <n v="0"/>
    <m/>
    <m/>
    <m/>
    <m/>
    <m/>
    <m/>
    <m/>
    <m/>
    <d v="2016-05-16T00:00:00"/>
    <n v="12"/>
    <m/>
    <n v="0"/>
    <n v="0"/>
    <n v="0"/>
  </r>
  <r>
    <s v="ILE SAINT-DENIS"/>
    <s v="ISD-QSU-03"/>
    <s v="DEF-ISD-QSU-01"/>
    <x v="8"/>
    <m/>
    <s v="QP093034"/>
    <m/>
    <s v="Faisabilité réseau de chaleur"/>
    <m/>
    <s v="Technique"/>
    <s v="Logement"/>
    <s v="SMIREC"/>
    <m/>
    <m/>
    <s v="X"/>
    <m/>
    <n v="0"/>
    <n v="0"/>
    <n v="0"/>
    <n v="0"/>
    <s v="Fait partie du programme d'étude mais pas de demande de financement"/>
    <n v="0"/>
    <n v="0"/>
    <n v="0"/>
    <m/>
    <m/>
    <m/>
    <m/>
    <m/>
    <m/>
    <m/>
    <m/>
    <m/>
    <m/>
    <m/>
    <m/>
    <m/>
    <m/>
    <m/>
    <m/>
    <m/>
    <m/>
    <m/>
    <m/>
    <m/>
    <n v="0"/>
    <n v="0"/>
    <n v="0"/>
    <n v="0"/>
    <n v="0"/>
    <m/>
    <m/>
    <m/>
    <m/>
    <m/>
    <m/>
    <m/>
    <m/>
    <m/>
    <m/>
    <n v="0"/>
    <n v="0"/>
    <n v="0"/>
    <n v="0"/>
  </r>
  <r>
    <s v="PANTIN"/>
    <s v="PA-V4C-01"/>
    <s v="DEF-PA-V4C-01"/>
    <x v="2"/>
    <m/>
    <s v="QP093028"/>
    <m/>
    <s v="Etude pré-opéationnelle habitat indigne"/>
    <m/>
    <s v="Habitat"/>
    <s v="Logement"/>
    <s v="Est-Ensemble"/>
    <m/>
    <m/>
    <s v="X"/>
    <s v="-diagnostic d'un échantillon représentatif d'immeubles_x000d__x000a_-définition dune typologie d'immeubles et dune stratégie d'intervention par typologie_x000d__x000a_-déclinaison du cadre opérationnel général d'inervention et des moyes à mobiliser (moyens humais, coûts,.….) et de la palette d'outils à mobiliser"/>
    <m/>
    <m/>
    <m/>
    <m/>
    <s v="Coût HT : 120 000_x000d__x000a_Subv ANAH : 60 000"/>
    <m/>
    <m/>
    <m/>
    <m/>
    <m/>
    <m/>
    <m/>
    <m/>
    <m/>
    <m/>
    <m/>
    <m/>
    <m/>
    <m/>
    <m/>
    <m/>
    <m/>
    <m/>
    <m/>
    <m/>
    <m/>
    <m/>
    <m/>
    <m/>
    <m/>
    <m/>
    <m/>
    <m/>
    <m/>
    <m/>
    <m/>
    <m/>
    <m/>
    <m/>
    <m/>
    <m/>
    <m/>
    <m/>
    <m/>
    <m/>
    <m/>
    <n v="0"/>
    <n v="0"/>
  </r>
  <r>
    <s v="PANTIN"/>
    <s v="PA-V4C-02"/>
    <s v="DEF-PA-V4C-02"/>
    <x v="2"/>
    <m/>
    <s v="QP093028"/>
    <m/>
    <s v="Etude de programmation équipements"/>
    <m/>
    <s v="Urbaine"/>
    <s v="Equipements"/>
    <s v="Ville de Pantin"/>
    <m/>
    <m/>
    <s v="X"/>
    <s v="Evaluer limpact des constructions de logements sur la programmation des équipements dans le quartier à 5 / 10 / 15 / et 20 ans"/>
    <m/>
    <m/>
    <m/>
    <m/>
    <s v="Coût HT : 60 000_x000d__x000a_Subv ANRU : 30 000"/>
    <m/>
    <m/>
    <m/>
    <m/>
    <m/>
    <m/>
    <m/>
    <m/>
    <m/>
    <m/>
    <m/>
    <m/>
    <m/>
    <m/>
    <m/>
    <m/>
    <m/>
    <m/>
    <m/>
    <m/>
    <m/>
    <m/>
    <m/>
    <m/>
    <m/>
    <m/>
    <m/>
    <m/>
    <m/>
    <m/>
    <m/>
    <m/>
    <m/>
    <m/>
    <m/>
    <m/>
    <m/>
    <m/>
    <m/>
    <m/>
    <m/>
    <n v="0"/>
    <n v="0"/>
  </r>
  <r>
    <s v="PANTIN"/>
    <s v="PA-V4C-03"/>
    <s v="DEF-PA-V4C-03"/>
    <x v="2"/>
    <m/>
    <s v="QP093028"/>
    <m/>
    <s v="Etudes géotechnique"/>
    <m/>
    <s v="Technique"/>
    <s v="Espaces extérieurs"/>
    <s v="Ville de Pantin"/>
    <m/>
    <m/>
    <s v="X"/>
    <s v="Etudes permettant d'estimer le bilan des opérations dans les îlots mutables"/>
    <m/>
    <m/>
    <m/>
    <m/>
    <s v="Coût HT : 40 000_x000d__x000a_Subv ANRU : 20 000"/>
    <m/>
    <m/>
    <m/>
    <m/>
    <m/>
    <m/>
    <m/>
    <m/>
    <m/>
    <m/>
    <m/>
    <m/>
    <m/>
    <m/>
    <m/>
    <m/>
    <m/>
    <m/>
    <m/>
    <m/>
    <m/>
    <m/>
    <m/>
    <m/>
    <m/>
    <m/>
    <m/>
    <m/>
    <m/>
    <m/>
    <m/>
    <m/>
    <m/>
    <m/>
    <m/>
    <m/>
    <m/>
    <m/>
    <m/>
    <m/>
    <m/>
    <n v="0"/>
    <n v="0"/>
  </r>
  <r>
    <s v="PANTIN"/>
    <s v="PA-V4C-03"/>
    <s v="DEF-PA-V4C-03"/>
    <x v="2"/>
    <m/>
    <s v="QP093028"/>
    <m/>
    <s v="Etudes géomètre"/>
    <m/>
    <s v="Technique"/>
    <s v="Espaces extérieurs"/>
    <s v="Ville de Pantin"/>
    <m/>
    <m/>
    <s v="X"/>
    <s v="Etudes techniques préalables  la définition des projets des opérations"/>
    <m/>
    <m/>
    <m/>
    <m/>
    <s v="Coût HT : 40 000_x000d__x000a_Subv ANRU : 20 000"/>
    <m/>
    <m/>
    <m/>
    <m/>
    <m/>
    <m/>
    <m/>
    <m/>
    <m/>
    <m/>
    <m/>
    <m/>
    <m/>
    <m/>
    <m/>
    <m/>
    <m/>
    <m/>
    <m/>
    <m/>
    <m/>
    <m/>
    <m/>
    <m/>
    <m/>
    <m/>
    <m/>
    <m/>
    <m/>
    <m/>
    <m/>
    <m/>
    <m/>
    <m/>
    <m/>
    <m/>
    <m/>
    <m/>
    <m/>
    <m/>
    <m/>
    <n v="0"/>
    <n v="0"/>
  </r>
  <r>
    <s v="PANTIN"/>
    <s v="PA-V4C-04"/>
    <s v="DEF-PA-V4C-04"/>
    <x v="2"/>
    <m/>
    <s v="QP093028"/>
    <m/>
    <s v="Etude renforcement réseaux-enfouissement"/>
    <m/>
    <s v="Technique"/>
    <s v="Espaces extérieurs"/>
    <s v="Ville de Pantin"/>
    <m/>
    <m/>
    <s v="X"/>
    <s v="Etudes techniques préalables  la définition des projets des opérations"/>
    <m/>
    <m/>
    <m/>
    <m/>
    <s v="Coût HT : 35 000_x000d__x000a_Subv ANRU : 17 500"/>
    <m/>
    <m/>
    <m/>
    <m/>
    <m/>
    <m/>
    <m/>
    <m/>
    <m/>
    <m/>
    <m/>
    <m/>
    <m/>
    <m/>
    <m/>
    <m/>
    <m/>
    <m/>
    <m/>
    <m/>
    <m/>
    <m/>
    <m/>
    <m/>
    <m/>
    <m/>
    <m/>
    <m/>
    <m/>
    <m/>
    <m/>
    <m/>
    <m/>
    <m/>
    <m/>
    <m/>
    <m/>
    <m/>
    <m/>
    <m/>
    <m/>
    <n v="0"/>
    <n v="0"/>
  </r>
  <r>
    <s v="PANTIN"/>
    <s v="PA-V4C-05"/>
    <s v="DEF-PA-V4C-05"/>
    <x v="2"/>
    <m/>
    <s v="QP093028"/>
    <m/>
    <s v="Diagnostic technique équipements"/>
    <m/>
    <s v="Technique"/>
    <s v="Equipements"/>
    <s v="Ville de Pantin"/>
    <m/>
    <m/>
    <s v="X"/>
    <s v="Etudes techniques préalables  la définition des projets des opérations"/>
    <m/>
    <m/>
    <m/>
    <m/>
    <s v="Coût HT : 50 000_x000d__x000a_Subv ANRU : 25 000"/>
    <m/>
    <m/>
    <m/>
    <m/>
    <m/>
    <m/>
    <m/>
    <m/>
    <m/>
    <m/>
    <m/>
    <m/>
    <m/>
    <m/>
    <m/>
    <m/>
    <m/>
    <m/>
    <m/>
    <m/>
    <m/>
    <m/>
    <m/>
    <m/>
    <m/>
    <m/>
    <m/>
    <m/>
    <m/>
    <m/>
    <m/>
    <m/>
    <m/>
    <m/>
    <m/>
    <m/>
    <m/>
    <m/>
    <m/>
    <m/>
    <m/>
    <n v="0"/>
    <n v="0"/>
  </r>
  <r>
    <s v="PANTIN"/>
    <s v="PA-V4C-06"/>
    <s v="DEF-PA-V4C-06"/>
    <x v="2"/>
    <m/>
    <s v="QP093028"/>
    <m/>
    <s v="Maison des projets"/>
    <m/>
    <s v="Accompagnement"/>
    <s v="Accompagnement"/>
    <s v="Ville de Pantin"/>
    <m/>
    <m/>
    <s v="X"/>
    <m/>
    <m/>
    <m/>
    <m/>
    <m/>
    <s v="Coût HT : 20 000_x000d__x000a_Subv ANRU : 10 000"/>
    <m/>
    <m/>
    <m/>
    <m/>
    <m/>
    <m/>
    <m/>
    <m/>
    <m/>
    <m/>
    <m/>
    <m/>
    <m/>
    <m/>
    <m/>
    <m/>
    <m/>
    <m/>
    <m/>
    <m/>
    <m/>
    <m/>
    <m/>
    <m/>
    <m/>
    <m/>
    <m/>
    <m/>
    <m/>
    <m/>
    <m/>
    <m/>
    <m/>
    <m/>
    <m/>
    <m/>
    <m/>
    <m/>
    <m/>
    <m/>
    <m/>
    <n v="0"/>
    <n v="0"/>
  </r>
  <r>
    <s v="PANTIN"/>
    <s v="PA-V4C-07"/>
    <s v="DEF-PA-V4C-07"/>
    <x v="2"/>
    <m/>
    <s v="QP093028"/>
    <m/>
    <s v="Réseau de chaleur"/>
    <m/>
    <s v="Urbaine"/>
    <s v="Logement"/>
    <s v="Est Ensemble"/>
    <m/>
    <m/>
    <s v="X"/>
    <s v="Etude d'opportunité et modalités de raccordement d'un réseau de chaleur sur la ZAC éco-quartier Gare de Pantin des immeubles existants et neufs des Quatre Chemins, prioritairement à Pantin"/>
    <m/>
    <m/>
    <m/>
    <m/>
    <s v="Coût HT : 40 000_x000d__x000a_Subv CDC : 20 000"/>
    <m/>
    <m/>
    <m/>
    <m/>
    <m/>
    <m/>
    <m/>
    <m/>
    <m/>
    <m/>
    <m/>
    <m/>
    <m/>
    <m/>
    <m/>
    <m/>
    <m/>
    <m/>
    <m/>
    <m/>
    <m/>
    <m/>
    <m/>
    <m/>
    <m/>
    <m/>
    <m/>
    <m/>
    <m/>
    <m/>
    <m/>
    <m/>
    <m/>
    <m/>
    <m/>
    <m/>
    <m/>
    <m/>
    <m/>
    <m/>
    <m/>
    <n v="0"/>
    <n v="0"/>
  </r>
  <r>
    <s v="PIERREFITTE-SUR-SEINE"/>
    <s v="PI-JON-01"/>
    <s v="DEF-PI-JON-01"/>
    <x v="9"/>
    <s v="DDUS"/>
    <s v="QP093036"/>
    <m/>
    <s v="Diagnostic social copropriété Fauvettes"/>
    <s v="Etude habitat Fauvettes fonctionnement)"/>
    <s v="Habitat"/>
    <s v="Logement"/>
    <s v="Plaine Commune"/>
    <m/>
    <s v="X"/>
    <m/>
    <s v="Le diagnostic social des Fauvettes doit permettre : _x000d__x000a_- d’identifier la composition, les revenus et les besoins des ménages;_x000d__x000a_- d'identifier les freins au relogement,  les délais de relogement et les besoins (typologie de logement, taux d’effort, souhait des familles)_x000d__x000a_- de présenter de l’ensemble des besoins en matière de relogement et de son phasage (court, moyen ou long terme)"/>
    <n v="40000"/>
    <n v="48000"/>
    <n v="40000"/>
    <n v="12000"/>
    <m/>
    <n v="0"/>
    <n v="28000"/>
    <n v="0"/>
    <m/>
    <m/>
    <m/>
    <m/>
    <m/>
    <m/>
    <m/>
    <m/>
    <m/>
    <m/>
    <m/>
    <m/>
    <m/>
    <m/>
    <m/>
    <m/>
    <m/>
    <m/>
    <n v="0"/>
    <m/>
    <m/>
    <n v="0"/>
    <n v="0"/>
    <n v="0"/>
    <n v="0"/>
    <n v="0"/>
    <m/>
    <m/>
    <m/>
    <m/>
    <m/>
    <m/>
    <m/>
    <m/>
    <d v="2016-03-01T00:00:00"/>
    <n v="6"/>
    <n v="136"/>
    <n v="0"/>
    <n v="0"/>
    <n v="0"/>
  </r>
  <r>
    <s v="PIERREFITTE-SUR-SEINE"/>
    <s v="PI-JON-02"/>
    <s v="DEF-PI-JON-02"/>
    <x v="9"/>
    <s v="DDUS"/>
    <s v="QP093036"/>
    <s v="PI-JON-02 / PI-JON-06 / PI-JON-07"/>
    <s v="Diagnostic technique Fauvettes"/>
    <s v="Intervention sur les Fauvettes"/>
    <s v="Habitat"/>
    <s v="Logement"/>
    <s v="Plaine Commune"/>
    <m/>
    <m/>
    <s v="X"/>
    <s v="Compte tenu de l'état du patrimoine bâti, des équipements de sécurité et de confort (incendie, arrêt des ascenseurs etc); il convient de réaliser un diagnostic technique du bâtiment pour évaluer la nature et le montant des travaux d'urgence à faire pour garantir la sécurité des occupants de l'immeuble"/>
    <n v="15000"/>
    <n v="18000"/>
    <n v="15000"/>
    <n v="0"/>
    <s v="Subv ANAH"/>
    <n v="0"/>
    <n v="7500"/>
    <n v="0"/>
    <m/>
    <m/>
    <m/>
    <m/>
    <m/>
    <m/>
    <m/>
    <m/>
    <m/>
    <m/>
    <m/>
    <m/>
    <m/>
    <m/>
    <m/>
    <m/>
    <m/>
    <m/>
    <n v="0"/>
    <m/>
    <m/>
    <n v="0"/>
    <n v="0"/>
    <n v="0"/>
    <n v="0"/>
    <n v="7500"/>
    <n v="7500"/>
    <m/>
    <m/>
    <m/>
    <m/>
    <m/>
    <m/>
    <m/>
    <d v="2016-03-01T00:00:00"/>
    <m/>
    <n v="136"/>
    <n v="0"/>
    <n v="0"/>
    <n v="0"/>
  </r>
  <r>
    <s v="PIERREFITTE-SUR-SEINE"/>
    <s v="PI-JON-06"/>
    <s v="DEF-PI-JON-02"/>
    <x v="9"/>
    <s v="DDUS"/>
    <s v="QP093036"/>
    <s v="PI-JON-02 / PI-JON-06 / PI-JON-07"/>
    <s v="Accompagnement et suivi des travaux d'urgence copropriété"/>
    <s v="Intervention sur les Fauvettes"/>
    <s v="Habitat"/>
    <s v="Logement"/>
    <s v="Plaine Commune"/>
    <m/>
    <m/>
    <s v="X"/>
    <s v="Mission de maîtrise d’œuvre comprenant notamment :_x000d__x000a_ _x000d__x000a_La rédaction des cahiers des charges de travaux_x000d__x000a_La rédaction du DCE_x000d__x000a_L’analyse des offres des entreprises_x000d__x000a_Le suivi des travaux"/>
    <n v="15000"/>
    <n v="18000"/>
    <n v="15000"/>
    <n v="5000"/>
    <m/>
    <n v="0"/>
    <n v="8000"/>
    <n v="0"/>
    <m/>
    <m/>
    <m/>
    <m/>
    <m/>
    <m/>
    <m/>
    <m/>
    <m/>
    <m/>
    <m/>
    <m/>
    <m/>
    <m/>
    <m/>
    <m/>
    <m/>
    <m/>
    <m/>
    <m/>
    <m/>
    <n v="2000"/>
    <n v="0"/>
    <n v="0"/>
    <n v="0"/>
    <n v="0"/>
    <m/>
    <m/>
    <m/>
    <m/>
    <m/>
    <m/>
    <m/>
    <m/>
    <m/>
    <m/>
    <n v="136"/>
    <n v="0"/>
    <n v="0"/>
    <n v="0"/>
  </r>
  <r>
    <s v="PIERREFITTE-SUR-SEINE"/>
    <s v="PI-JON-07"/>
    <s v="DEF-PI-JON-02"/>
    <x v="9"/>
    <s v="DDUS"/>
    <s v="QP093036"/>
    <s v="PI-JON-02 / PI-JON-06 / PI-JON-07"/>
    <s v="Etude de faisabilité technique et financière de trois scénarii (Fauvettes)"/>
    <s v="Intervention sur les Fauvettes"/>
    <s v="Habitat"/>
    <s v="Logement"/>
    <s v="Plaine Commune"/>
    <m/>
    <m/>
    <s v="X"/>
    <s v="Mission d’assistance à maîtrise d’ouvrage comprenant :_x000d__x000a_ _x000d__x000a_Un volet financier : mise en place et suivi du préfinancement de la subvention ANAH, la recherche de financements complémentaires pour alléger les reste à charge_x000d__x000a_Un volet technique : le pilotage de la mission de maitrise d’oœuvre"/>
    <n v="25000"/>
    <n v="30000"/>
    <n v="25000"/>
    <n v="8000"/>
    <m/>
    <n v="0"/>
    <n v="14000"/>
    <n v="0"/>
    <m/>
    <m/>
    <m/>
    <m/>
    <m/>
    <m/>
    <m/>
    <m/>
    <m/>
    <m/>
    <m/>
    <m/>
    <m/>
    <m/>
    <m/>
    <m/>
    <m/>
    <m/>
    <m/>
    <m/>
    <m/>
    <n v="3000"/>
    <n v="0"/>
    <n v="0"/>
    <n v="0"/>
    <n v="0"/>
    <m/>
    <m/>
    <m/>
    <m/>
    <m/>
    <m/>
    <m/>
    <m/>
    <m/>
    <m/>
    <n v="136"/>
    <n v="0"/>
    <n v="0"/>
    <n v="0"/>
  </r>
  <r>
    <s v="PIERREFITTE-SUR-SEINE"/>
    <s v="PI-JON-03"/>
    <s v="DEF-PI-JON-03"/>
    <x v="9"/>
    <m/>
    <s v="QP093036"/>
    <m/>
    <s v="Etude programmation équipements publics"/>
    <m/>
    <s v="Urbaine"/>
    <s v="Equipements"/>
    <s v="Ville de Pierrefitte"/>
    <m/>
    <m/>
    <s v="X"/>
    <s v="Le quartier plus large que le NPNRU en lien avec la ZAC Valles va subir des transformations nouvelles avec des démolitions et des (re)constructions de logements._x000d__x000a_Deux réflexions sont nécessaire, la première porte sur le dimensionnement des équipements publics (notamment scolaires) pour qu'ils puissent répondre aux besoins. La seconde portera plus sur la localisation de ces équipements._x000d__x000a_Aucune étude n'a été menée en ce sens à ce jour."/>
    <n v="30000"/>
    <n v="36000"/>
    <n v="30000"/>
    <n v="15000"/>
    <m/>
    <n v="15000"/>
    <n v="0"/>
    <n v="0"/>
    <m/>
    <m/>
    <m/>
    <m/>
    <m/>
    <m/>
    <m/>
    <m/>
    <m/>
    <m/>
    <m/>
    <m/>
    <m/>
    <m/>
    <m/>
    <m/>
    <m/>
    <m/>
    <m/>
    <m/>
    <m/>
    <n v="0"/>
    <n v="0"/>
    <n v="0"/>
    <n v="0"/>
    <n v="0"/>
    <m/>
    <m/>
    <m/>
    <m/>
    <m/>
    <m/>
    <m/>
    <m/>
    <m/>
    <m/>
    <n v="0"/>
    <n v="0"/>
    <n v="0"/>
    <n v="0"/>
  </r>
  <r>
    <s v="PIERREFITTE-SUR-SEINE"/>
    <s v="PI-JON-04"/>
    <s v="DEF-PI-JON-04"/>
    <x v="9"/>
    <s v="DDUS"/>
    <s v="QP093036"/>
    <m/>
    <s v="Etude stratégique (Fauvettes/Joncherolles)"/>
    <s v="Etude urbaine"/>
    <s v="Urbaine"/>
    <s v="Etudes stratégiques"/>
    <s v="Plaine Commune"/>
    <m/>
    <m/>
    <s v="X"/>
    <s v="La première étude menée pour candidater au NPNRU date de mars 2014. _x000d__x000a_ _x000d__x000a_Des évolutions récentes (arrivée d'un promoteur, démolition de la locomotive commerciale Darty, démolition / reconstruction partielle du foyer ADOMA…) amènent a mener une étude stratégique qui tiendra compte de l'ambition que pourra donner le règlement financier de l'ANRU : intervention sur l'habitat privé, démolition d'équipements publics..._x000d__x000a_ _x000d__x000a_Cette étude stratégique portera sur un périmètre élagi à ue partie du secteur Vallès, notamment le secteur dédié à la reconstructio de logements sociaux ou privés pour les méages des Fauvettes. Elle aura aussi pour objet de réinterroger le plan masse initial au regard des préconisations issues de l’étude commerce et activités et de l’étude Bien être dans l’espace public._x000d__x000a_ _x000d__x000a_Elle permettra de réajuster les choix initiaux en fonction des résultats de la démarche de concertation."/>
    <n v="75000"/>
    <n v="90000"/>
    <n v="75000"/>
    <n v="30500"/>
    <m/>
    <n v="0"/>
    <n v="35500"/>
    <n v="0"/>
    <m/>
    <m/>
    <m/>
    <m/>
    <m/>
    <m/>
    <m/>
    <m/>
    <m/>
    <m/>
    <m/>
    <m/>
    <m/>
    <m/>
    <m/>
    <m/>
    <m/>
    <m/>
    <m/>
    <m/>
    <m/>
    <n v="9000"/>
    <n v="0"/>
    <n v="0"/>
    <n v="0"/>
    <n v="0"/>
    <m/>
    <m/>
    <m/>
    <m/>
    <m/>
    <m/>
    <m/>
    <m/>
    <d v="2016-04-01T00:00:00"/>
    <n v="20"/>
    <n v="0"/>
    <n v="0"/>
    <n v="0"/>
    <n v="0"/>
  </r>
  <r>
    <s v="PIERREFITTE-SUR-SEINE"/>
    <s v="PI-JON-05"/>
    <s v="DEF-PI-JON-05"/>
    <x v="9"/>
    <m/>
    <s v="QP093036"/>
    <m/>
    <s v="Maison de projets travaux"/>
    <m/>
    <s v="Accompagnement"/>
    <s v="Accompagnement"/>
    <s v="Ville de Pierrefitte"/>
    <m/>
    <m/>
    <s v="X"/>
    <s v="Au sein des locaux de l’ex-Maison de la culture et des loisirs (MCL), la Ville envisage la création d’un nouveau centre social (dont la mission de préfiguration est en cours de lancement)._x000d__x000a_La Ville prévoit des travaux pour une remise aux normes des locaux ._x000d__x000a_ _x000d__x000a_L’installation d’une Maison du projet étant préférable au sein d’un équipement municipal de proximité, les locaux du futur centre social paraissent le plus adapté pour accueillir la Maison du projet. Les travaux d’aménagement de la Maison du projet seront réalisés par la Ville, concomitamment aux travaux de remise aux normes déjà prévus ."/>
    <n v="25000"/>
    <n v="30000"/>
    <n v="25000"/>
    <n v="0"/>
    <m/>
    <n v="25000"/>
    <n v="0"/>
    <n v="0"/>
    <m/>
    <m/>
    <m/>
    <m/>
    <m/>
    <m/>
    <m/>
    <m/>
    <m/>
    <m/>
    <m/>
    <m/>
    <m/>
    <m/>
    <m/>
    <m/>
    <m/>
    <m/>
    <m/>
    <m/>
    <m/>
    <n v="0"/>
    <n v="0"/>
    <n v="0"/>
    <n v="0"/>
    <n v="0"/>
    <m/>
    <m/>
    <m/>
    <m/>
    <m/>
    <m/>
    <m/>
    <m/>
    <m/>
    <m/>
    <n v="0"/>
    <n v="0"/>
    <n v="0"/>
    <n v="0"/>
  </r>
  <r>
    <s v="PIERREFITTE-SUR-SEINE"/>
    <s v="PI-JON-16"/>
    <s v="DEF-PI-JON-06"/>
    <x v="9"/>
    <s v="PCH"/>
    <m/>
    <s v="PI-JON-16 /PI-JON-17"/>
    <s v="Etude de faisabilité architecturale"/>
    <s v="Etude de faisabilité Ravalement avec isolation (scénarii et chiffrage)"/>
    <s v="Habitat"/>
    <s v="Logement"/>
    <s v="PCH"/>
    <m/>
    <m/>
    <s v="X"/>
    <s v="Sur la base de l'étude thermique, l'étude de faisabilité va permettre de définir le projet de réhabilitation thermique en accord avec le projet de restructuration urbaine du quartier."/>
    <n v="30000"/>
    <n v="36000"/>
    <n v="30000"/>
    <n v="15000"/>
    <m/>
    <n v="0"/>
    <n v="0"/>
    <n v="15000"/>
    <m/>
    <m/>
    <m/>
    <m/>
    <m/>
    <m/>
    <m/>
    <m/>
    <m/>
    <n v="15000"/>
    <m/>
    <m/>
    <m/>
    <m/>
    <m/>
    <m/>
    <m/>
    <m/>
    <m/>
    <m/>
    <m/>
    <m/>
    <n v="0"/>
    <n v="0"/>
    <n v="0"/>
    <n v="0"/>
    <m/>
    <m/>
    <m/>
    <m/>
    <m/>
    <m/>
    <m/>
    <m/>
    <d v="2016-04-01T00:00:00"/>
    <n v="4"/>
    <n v="373"/>
    <n v="0"/>
    <n v="0"/>
    <n v="0"/>
  </r>
  <r>
    <s v="PIERREFITTE-SUR-SEINE"/>
    <s v="PI-JON-17"/>
    <s v="DEF-PI-JON-06"/>
    <x v="9"/>
    <s v="PCH"/>
    <m/>
    <s v="PI-JON-16 /PI-JON-17"/>
    <s v="Etude Thermique"/>
    <s v="Etude Thermique"/>
    <s v="Technique"/>
    <s v="Logement"/>
    <s v="PCH"/>
    <m/>
    <m/>
    <s v="X"/>
    <s v="L'étude patrimoniale aura pour vocation tout en maintenant le patrimoine existant de mener une réflexion sur la politique de peuplement et son évolution dans l'hypothèse d'une diversité de l'habitat"/>
    <n v="50000"/>
    <n v="60000"/>
    <n v="50000"/>
    <n v="25000"/>
    <m/>
    <n v="0"/>
    <n v="0"/>
    <n v="25000"/>
    <m/>
    <m/>
    <m/>
    <m/>
    <m/>
    <m/>
    <m/>
    <m/>
    <m/>
    <n v="25000"/>
    <m/>
    <m/>
    <m/>
    <m/>
    <m/>
    <m/>
    <m/>
    <m/>
    <m/>
    <m/>
    <m/>
    <n v="0"/>
    <n v="0"/>
    <n v="0"/>
    <n v="0"/>
    <n v="0"/>
    <m/>
    <m/>
    <m/>
    <m/>
    <m/>
    <m/>
    <m/>
    <m/>
    <m/>
    <m/>
    <n v="373"/>
    <n v="0"/>
    <n v="0"/>
    <n v="0"/>
  </r>
  <r>
    <s v="PIERREFITTE-SUR-SEINE"/>
    <s v="PI-LPA-01"/>
    <s v="DEF-PI-LPA-01"/>
    <x v="10"/>
    <m/>
    <m/>
    <m/>
    <s v="Etude d'occupation sociale"/>
    <m/>
    <s v="Habitat"/>
    <s v="Logement"/>
    <s v="OSICA"/>
    <m/>
    <m/>
    <s v="X"/>
    <s v="Dans le cadre des opérations à engager (orientation vers une démolition totale des immeubles Lafargue / Parmentier), nécessité de connaitre l'occupation sociale pour identifier :_x000d__x000a_ _x000d__x000a_La composition et les revenus des ménages_x000d__x000a_Les besoins en relogement (typologie de logement, taux d’effort, souhait des familles)."/>
    <n v="0"/>
    <n v="0"/>
    <n v="0"/>
    <m/>
    <s v="rattachement au NPNRU Val de France Sarcelle, accord de principe entre le maire de pierrefitte et président ANRU/Maire de Sarcelle_x000a_cout ANRU : 12 500_x000a_cout HT : 25000"/>
    <n v="0"/>
    <n v="0"/>
    <n v="0"/>
    <m/>
    <m/>
    <m/>
    <m/>
    <m/>
    <m/>
    <m/>
    <m/>
    <m/>
    <m/>
    <m/>
    <m/>
    <m/>
    <m/>
    <m/>
    <m/>
    <m/>
    <m/>
    <m/>
    <m/>
    <m/>
    <n v="0"/>
    <n v="0"/>
    <n v="0"/>
    <n v="0"/>
    <n v="0"/>
    <m/>
    <m/>
    <m/>
    <m/>
    <m/>
    <m/>
    <m/>
    <m/>
    <d v="2016-09-01T00:00:00"/>
    <m/>
    <n v="120"/>
    <n v="0"/>
    <n v="0"/>
    <n v="0"/>
  </r>
  <r>
    <s v="PIERREFITTE-SUR-SEINE"/>
    <s v="PI-LPA-02"/>
    <s v="DEF-PI-LPA-02"/>
    <x v="10"/>
    <m/>
    <m/>
    <m/>
    <s v="Etude technique pour démolition"/>
    <m/>
    <s v="Habitat"/>
    <s v="Logement"/>
    <s v="OSICA"/>
    <m/>
    <m/>
    <s v="X"/>
    <s v="Dans le cadre des opérations à engager (orientation vers une démolition totale des immeubles Lafargue / Parmentier), nécessité de mener des diagnostics techniques complémentaires."/>
    <n v="0"/>
    <n v="0"/>
    <n v="0"/>
    <n v="0"/>
    <s v="Val de France , cout ANRU : 12500_x000a_cout HT : 25000"/>
    <n v="0"/>
    <n v="0"/>
    <n v="0"/>
    <m/>
    <m/>
    <m/>
    <m/>
    <m/>
    <m/>
    <m/>
    <m/>
    <m/>
    <m/>
    <m/>
    <m/>
    <m/>
    <m/>
    <m/>
    <m/>
    <m/>
    <m/>
    <m/>
    <m/>
    <m/>
    <n v="0"/>
    <n v="0"/>
    <n v="0"/>
    <n v="0"/>
    <n v="0"/>
    <m/>
    <m/>
    <m/>
    <m/>
    <m/>
    <m/>
    <m/>
    <m/>
    <m/>
    <m/>
    <n v="120"/>
    <n v="0"/>
    <n v="0"/>
    <n v="0"/>
  </r>
  <r>
    <s v="PIERREFITTE-SUR-SEINE"/>
    <s v="PI-LPA-03"/>
    <s v="DEF-PI-LPA-03"/>
    <x v="10"/>
    <m/>
    <m/>
    <m/>
    <s v="Etude urbaine"/>
    <s v="Etude urbaine"/>
    <s v="Urbaine"/>
    <s v="Etudes stratégiques"/>
    <s v="Plaine Commune"/>
    <m/>
    <m/>
    <s v="X"/>
    <s v="il manque une étude dite étude urbaine pour définir les orientations globales du projet (plan masse)"/>
    <n v="7500"/>
    <n v="0"/>
    <n v="7500"/>
    <n v="0"/>
    <s v="il manque une étude dite étude urbaine pour définir les orientations glolbales du projet (plan masse)_x000a_rattachemment à VAL de France 15 000HT et 6 000 ANRU"/>
    <n v="0"/>
    <n v="5000"/>
    <n v="0"/>
    <m/>
    <m/>
    <m/>
    <m/>
    <m/>
    <m/>
    <m/>
    <m/>
    <m/>
    <m/>
    <m/>
    <m/>
    <m/>
    <m/>
    <m/>
    <m/>
    <m/>
    <m/>
    <m/>
    <m/>
    <m/>
    <n v="1500"/>
    <n v="0"/>
    <n v="0"/>
    <n v="0"/>
    <n v="0"/>
    <m/>
    <m/>
    <m/>
    <m/>
    <m/>
    <m/>
    <m/>
    <m/>
    <d v="2016-04-01T00:00:00"/>
    <m/>
    <n v="0"/>
    <n v="0"/>
    <m/>
    <m/>
  </r>
  <r>
    <s v="SAINT-DENIS"/>
    <s v="SD-CVI-01"/>
    <s v="DEF-SD-CVI-01"/>
    <x v="11"/>
    <s v="DDUS"/>
    <s v="QP093039"/>
    <s v="SD-CVI-01 / SD-CVI-03 / SD-CVI-08"/>
    <s v="Etude urbaine et économique Secteur Basilique"/>
    <s v="Etudes urbaine centre ville"/>
    <s v="Urbaine"/>
    <s v="Etudes stratégiques"/>
    <s v="Plaine Commune"/>
    <m/>
    <m/>
    <s v="X"/>
    <s v="En tenant compte de la précedente étude, l'équipe retenue doit travailler un projet intégré qui conjugue les thématiques sociales, d'offre d'habitat, de réorganisation et de développement d'équipements publics, de refonte de l'architecture commerciale._x000d__x000a_ _x000d__x000a_- Phase 1 : Diagnostic propsectif et propositions d'interventions prioritaires_x000d__x000a_- Phase 2 : Déclinaison et chiffrage des actions prioritaires"/>
    <n v="68523"/>
    <n v="82227.599999999991"/>
    <n v="68523"/>
    <n v="0"/>
    <s v="étude déjà lancée"/>
    <n v="0"/>
    <n v="44745"/>
    <n v="0"/>
    <m/>
    <m/>
    <m/>
    <m/>
    <m/>
    <m/>
    <m/>
    <m/>
    <m/>
    <m/>
    <m/>
    <m/>
    <m/>
    <m/>
    <m/>
    <m/>
    <m/>
    <m/>
    <m/>
    <m/>
    <m/>
    <n v="23778"/>
    <n v="0"/>
    <n v="0"/>
    <n v="0"/>
    <n v="0"/>
    <m/>
    <m/>
    <m/>
    <m/>
    <m/>
    <m/>
    <m/>
    <m/>
    <d v="2016-03-01T00:00:00"/>
    <n v="6"/>
    <n v="0"/>
    <n v="0"/>
    <n v="0"/>
    <n v="0"/>
  </r>
  <r>
    <s v="SAINT-DENIS"/>
    <s v="SD-CVI-03"/>
    <s v="DEF-SD-CVI-01"/>
    <x v="11"/>
    <s v="DDUS"/>
    <s v="QP093039"/>
    <s v="SD-CVI-01 / SD-CVI-03 / SD-CVI-08"/>
    <s v="Définition d'un programme d'intervention sur l'espace public"/>
    <s v="Etudes urbaine centre ville"/>
    <s v="Urbaine"/>
    <s v="Espaces extérieurs"/>
    <s v="Plaine Commune"/>
    <m/>
    <m/>
    <s v="X"/>
    <s v="A la lecture des dysfonctionnements et des problèmes d'usage de l'espace public, un programme d'intervention sur l'espace public devra être mené._x000d__x000a_ _x000d__x000a_Objectif : _x000d__x000a_ _x000d__x000a_Définir un programme cohérent de reprise de ces espaces, et les chiffrer."/>
    <n v="30000"/>
    <n v="36000"/>
    <n v="30000"/>
    <n v="15000"/>
    <s v="fusion des lignes -20 000"/>
    <n v="0"/>
    <n v="15000"/>
    <n v="0"/>
    <m/>
    <m/>
    <m/>
    <m/>
    <m/>
    <m/>
    <m/>
    <m/>
    <m/>
    <m/>
    <m/>
    <m/>
    <m/>
    <m/>
    <m/>
    <m/>
    <m/>
    <m/>
    <m/>
    <m/>
    <m/>
    <n v="0"/>
    <n v="0"/>
    <n v="0"/>
    <n v="0"/>
    <n v="0"/>
    <m/>
    <m/>
    <m/>
    <m/>
    <m/>
    <m/>
    <m/>
    <m/>
    <d v="2016-03-16T00:00:00"/>
    <n v="5"/>
    <n v="0"/>
    <n v="0"/>
    <n v="0"/>
    <n v="0"/>
  </r>
  <r>
    <s v="SAINT-DENIS"/>
    <s v="SD-CVI-08"/>
    <s v="DEF-SD-CVI-01"/>
    <x v="11"/>
    <s v="DDUS"/>
    <s v="QP093039"/>
    <s v="SD-CVI-01 / SD-CVI-03 / SD-CVI-08"/>
    <s v="Suivi de l'étude urbaine"/>
    <s v="Etudes urbaine centre ville"/>
    <s v="Urbaine"/>
    <s v="Etudes stratégiques"/>
    <s v="Plaine Commune"/>
    <m/>
    <m/>
    <s v="X"/>
    <s v="Cette étude permettra de compléter le diagnostic patrimonial, architectural, urbain et paysager si nécessaire et de mettre en oeuvre un projet urbain et paysager en fonction des orientations des précedentes études urbaines."/>
    <n v="70000"/>
    <n v="84000"/>
    <n v="70000"/>
    <n v="30000"/>
    <s v="fusion des lignes et + 20 000"/>
    <n v="0"/>
    <n v="35000"/>
    <n v="0"/>
    <m/>
    <m/>
    <m/>
    <m/>
    <m/>
    <m/>
    <m/>
    <m/>
    <m/>
    <m/>
    <m/>
    <m/>
    <m/>
    <m/>
    <m/>
    <m/>
    <m/>
    <m/>
    <m/>
    <m/>
    <m/>
    <n v="5000"/>
    <n v="0"/>
    <n v="0"/>
    <n v="0"/>
    <n v="0"/>
    <m/>
    <m/>
    <m/>
    <m/>
    <m/>
    <m/>
    <m/>
    <m/>
    <d v="2016-03-16T00:00:00"/>
    <n v="12"/>
    <n v="0"/>
    <n v="0"/>
    <n v="0"/>
    <n v="0"/>
  </r>
  <r>
    <s v="SAINT-DENIS"/>
    <s v="SD-CVI-02"/>
    <s v="DEF-SD-CVI-02"/>
    <x v="11"/>
    <m/>
    <s v="QP093039"/>
    <m/>
    <s v="Etude sociologique sur les îlots résidentialisés"/>
    <m/>
    <s v="Urbaine"/>
    <s v="Etudes stratégiques"/>
    <s v="Ville de Saint-Denis"/>
    <m/>
    <m/>
    <s v="X"/>
    <s v="Dans la perspective d'une précédente étude sociologique sur les parcours résidentiels et la vie sociale du secteur Basilique réalisé par des étudiants en sociologie, cette étude vise à analyser l'appropriation des résidentialisations par les habitants._x000d__x000a_ _x000d__x000a_Cette étude menée par des étudiants en sociologie, premettra de dresser un bilan des résidentialisations et les leçons à tirer pour l'amélioration des résidentialisations existantes et la réalisation des futures."/>
    <n v="0"/>
    <n v="0"/>
    <n v="0"/>
    <n v="0"/>
    <s v="Etude déjà réalisée hors subventions"/>
    <n v="0"/>
    <n v="0"/>
    <n v="0"/>
    <m/>
    <m/>
    <m/>
    <m/>
    <m/>
    <m/>
    <m/>
    <m/>
    <m/>
    <m/>
    <m/>
    <m/>
    <m/>
    <m/>
    <m/>
    <m/>
    <m/>
    <m/>
    <m/>
    <m/>
    <m/>
    <n v="0"/>
    <n v="0"/>
    <n v="0"/>
    <n v="0"/>
    <n v="0"/>
    <m/>
    <m/>
    <m/>
    <m/>
    <m/>
    <m/>
    <m/>
    <m/>
    <d v="2016-03-01T00:00:00"/>
    <n v="6"/>
    <n v="0"/>
    <n v="0"/>
    <n v="0"/>
    <n v="0"/>
  </r>
  <r>
    <s v="SAINT-DENIS"/>
    <s v="SD-CVI-09"/>
    <s v="DEF-SD-CVI-03"/>
    <x v="11"/>
    <m/>
    <s v="QP093039"/>
    <m/>
    <s v="étude circulations piétonnes îlot 9"/>
    <m/>
    <s v="Habitat"/>
    <s v="Espaces extérieurs"/>
    <s v="Antin résidences"/>
    <m/>
    <m/>
    <s v="X"/>
    <s v="L'îlot 9, du fait de sa composition architecturale souffre d'une complexité en termes de circulation piétonne._x000d__x000a_ _x000d__x000a_Une étude permetterait d'appréhender ces circulations afin de mieux les maîtriser/orienter"/>
    <n v="20000"/>
    <n v="24000"/>
    <n v="20000"/>
    <n v="10000"/>
    <m/>
    <n v="0"/>
    <n v="0"/>
    <n v="10000"/>
    <m/>
    <m/>
    <m/>
    <m/>
    <m/>
    <m/>
    <m/>
    <n v="10000"/>
    <m/>
    <m/>
    <m/>
    <m/>
    <m/>
    <m/>
    <m/>
    <m/>
    <m/>
    <m/>
    <m/>
    <m/>
    <m/>
    <n v="0"/>
    <n v="0"/>
    <n v="0"/>
    <n v="0"/>
    <n v="0"/>
    <m/>
    <m/>
    <m/>
    <m/>
    <m/>
    <m/>
    <m/>
    <m/>
    <d v="2016-03-16T00:00:00"/>
    <n v="12"/>
    <n v="131"/>
    <n v="0"/>
    <n v="0"/>
    <n v="0"/>
  </r>
  <r>
    <s v="SAINT-DENIS"/>
    <s v="SD-CVI-11"/>
    <s v="DEF-SD-CVI-04"/>
    <x v="11"/>
    <m/>
    <s v="QP093039"/>
    <m/>
    <s v="études techniques îlots 5 et 6 (themrqies, réseaux, OM, parking"/>
    <m/>
    <s v="Habitat"/>
    <s v="Espaces extérieurs"/>
    <s v="Toit et Joie"/>
    <m/>
    <m/>
    <s v="X"/>
    <s v="Ces études permettront de :_x000d__x000a_ _x000d__x000a_- Trouver des solutions adaptées au problème de stockage et collecte des OM_x000d__x000a_- Analyser les besoins et usages des parkings afin de résoudre les problèmes de vacance et d'insécurité dans ces équipements"/>
    <n v="36060"/>
    <n v="43272"/>
    <n v="36060"/>
    <n v="18030"/>
    <m/>
    <n v="0"/>
    <n v="0"/>
    <n v="18030"/>
    <m/>
    <m/>
    <m/>
    <m/>
    <m/>
    <m/>
    <n v="18030"/>
    <m/>
    <m/>
    <m/>
    <m/>
    <m/>
    <m/>
    <m/>
    <m/>
    <m/>
    <m/>
    <m/>
    <m/>
    <m/>
    <m/>
    <n v="0"/>
    <n v="0"/>
    <n v="0"/>
    <n v="0"/>
    <n v="0"/>
    <m/>
    <m/>
    <m/>
    <m/>
    <m/>
    <m/>
    <m/>
    <m/>
    <d v="2016-03-16T00:00:00"/>
    <n v="12"/>
    <n v="229"/>
    <n v="0"/>
    <n v="0"/>
    <n v="0"/>
  </r>
  <r>
    <s v="SAINT-DENIS"/>
    <s v="SD-CVI-12"/>
    <s v="DEF-SD-CVI-05"/>
    <x v="11"/>
    <m/>
    <s v="QP093039"/>
    <m/>
    <s v="accompagnement appropriation résidentialisation"/>
    <m/>
    <s v="Accompagnement"/>
    <s v="Accompagnement"/>
    <s v="Toit et Joie"/>
    <m/>
    <m/>
    <s v="X"/>
    <s v="Toit et Joie a procédé à une résidentialisation il y a deux ans._x000d__x000a_ _x000d__x000a_Cette étude permettra l'évaluation du dispositif mais aussi l'accompagnement du bailleur sur la mise en œuvre des conclusions des groupes de travail GUP, du travail spécifique sur l'étude patrimoniale effectuée par des étudiants en architecture préparant leur HMO et suite à la définition des orientations urbaines et sociales."/>
    <n v="15820"/>
    <n v="18984"/>
    <n v="15820"/>
    <n v="7910"/>
    <m/>
    <n v="0"/>
    <n v="0"/>
    <n v="7910"/>
    <m/>
    <m/>
    <m/>
    <m/>
    <m/>
    <m/>
    <n v="7910"/>
    <m/>
    <m/>
    <m/>
    <m/>
    <m/>
    <m/>
    <m/>
    <m/>
    <m/>
    <m/>
    <m/>
    <m/>
    <m/>
    <m/>
    <n v="0"/>
    <n v="0"/>
    <n v="0"/>
    <n v="0"/>
    <n v="0"/>
    <m/>
    <m/>
    <m/>
    <m/>
    <m/>
    <m/>
    <m/>
    <m/>
    <d v="2016-03-16T00:00:00"/>
    <n v="12"/>
    <n v="229"/>
    <n v="0"/>
    <n v="0"/>
    <n v="0"/>
  </r>
  <r>
    <s v="SAINT-DENIS"/>
    <s v="SD-CVI-13"/>
    <s v="DEF-SD-CVI-06"/>
    <x v="11"/>
    <s v="DDUS"/>
    <s v="QP093039"/>
    <m/>
    <s v="exposition / mobilisation habitante sur le patrimoine architectural"/>
    <s v="Accompagnement exposition patrimoine architectural"/>
    <s v="Accompagnement"/>
    <s v="Accompagnement"/>
    <s v="Plaine Commune / Ville de Saint-Denis"/>
    <m/>
    <s v="X"/>
    <m/>
    <s v="La ZAC Basilique, emblématique de l'&quot;architecture proliféranre&quot;, a été pensée et construite par des architectes de renom. _x000d__x000a_ _x000d__x000a_Ce patrimoine architectural mais aussi l'idéologie portée par ses concepteurs (en termes de mixité sociale, d'usage des espaces publics, de mixité fonctionnelle...) seront présentés dans une exposition organisée en collaboration avec les habitants._x000d__x000a_ _x000d__x000a_Elle sera l'occasion de sensibiliser les habitants au patrimoine architectural dans lequel ils vivent et de recueillir leurs retours d'expérience pour mieux entamer et orienter la rénovation urbaine du secteur."/>
    <n v="30000"/>
    <n v="36000"/>
    <n v="30000"/>
    <n v="15000"/>
    <s v="Groupement de commande"/>
    <n v="7500"/>
    <n v="7500"/>
    <n v="0"/>
    <m/>
    <m/>
    <m/>
    <m/>
    <m/>
    <m/>
    <m/>
    <m/>
    <m/>
    <m/>
    <m/>
    <m/>
    <m/>
    <m/>
    <m/>
    <m/>
    <m/>
    <m/>
    <m/>
    <m/>
    <m/>
    <n v="0"/>
    <n v="0"/>
    <n v="0"/>
    <n v="0"/>
    <n v="0"/>
    <m/>
    <m/>
    <m/>
    <m/>
    <m/>
    <m/>
    <m/>
    <m/>
    <d v="2016-06-01T00:00:00"/>
    <n v="1"/>
    <n v="0"/>
    <n v="0"/>
    <n v="0"/>
    <n v="0"/>
  </r>
  <r>
    <s v="SAINT-DENIS"/>
    <s v="SD-CVI-14"/>
    <s v="DEF-SD-CVI-07"/>
    <x v="11"/>
    <m/>
    <s v="QP093039"/>
    <m/>
    <s v="Mise en place d'un dispositif de GUP Secteur Basilique"/>
    <m/>
    <s v="Accompagnement"/>
    <s v="Accompagnement"/>
    <s v="Ville de Saint-Denis"/>
    <m/>
    <m/>
    <s v="X"/>
    <s v="Assistance à la mise en place d'une stratégie de gestion urbaine de proximité  sur ce secteur connaissant de nombreux problèmes de gestion."/>
    <n v="20000"/>
    <n v="24000"/>
    <n v="20000"/>
    <n v="10000"/>
    <m/>
    <n v="10000"/>
    <n v="0"/>
    <n v="0"/>
    <m/>
    <m/>
    <m/>
    <m/>
    <m/>
    <m/>
    <m/>
    <m/>
    <m/>
    <m/>
    <m/>
    <m/>
    <m/>
    <m/>
    <m/>
    <m/>
    <m/>
    <m/>
    <m/>
    <m/>
    <m/>
    <n v="0"/>
    <n v="0"/>
    <n v="0"/>
    <n v="0"/>
    <n v="0"/>
    <m/>
    <m/>
    <m/>
    <m/>
    <m/>
    <m/>
    <m/>
    <m/>
    <d v="2016-03-16T00:00:00"/>
    <n v="4"/>
    <n v="0"/>
    <n v="0"/>
    <n v="0"/>
    <n v="0"/>
  </r>
  <r>
    <s v="SAINT-DENIS"/>
    <s v="SD-CVI-15 / _x000a_SD-CVI-16"/>
    <s v="DEF-SD-CVI-08"/>
    <x v="11"/>
    <m/>
    <s v="QP093039"/>
    <m/>
    <s v="AMO concertation"/>
    <m/>
    <s v="Accompagnement"/>
    <s v="Accompagnement"/>
    <s v="Ville de Saint-Denis"/>
    <m/>
    <m/>
    <s v="X"/>
    <s v="Aide à la mise en place de la concertation et de ses modalités d'organisations"/>
    <n v="15000"/>
    <n v="18000"/>
    <n v="15000"/>
    <n v="7500"/>
    <s v="à fusionner avec AMO conseil citoyens ? (expertise co-construction)"/>
    <n v="7500"/>
    <n v="0"/>
    <n v="0"/>
    <m/>
    <m/>
    <m/>
    <m/>
    <m/>
    <m/>
    <m/>
    <m/>
    <m/>
    <m/>
    <m/>
    <m/>
    <m/>
    <m/>
    <m/>
    <m/>
    <m/>
    <m/>
    <m/>
    <m/>
    <m/>
    <n v="0"/>
    <n v="0"/>
    <n v="0"/>
    <n v="0"/>
    <n v="0"/>
    <m/>
    <m/>
    <m/>
    <m/>
    <m/>
    <m/>
    <m/>
    <m/>
    <d v="2016-03-16T00:00:00"/>
    <n v="6"/>
    <n v="0"/>
    <n v="0"/>
    <n v="0"/>
    <n v="0"/>
  </r>
  <r>
    <s v="SAINT-DENIS"/>
    <s v="SD-CVI-19"/>
    <s v="DEF-SD-CVI-09"/>
    <x v="11"/>
    <s v="Finance"/>
    <s v="QP093039"/>
    <m/>
    <s v="Optimisation des modes de stockage et de collecte déchets ménager"/>
    <s v="Etudes techniques (espaces publics, ouvrage et déchets)"/>
    <s v="Urbaine"/>
    <s v="Etudes stratégiques"/>
    <s v="Plaine Commune"/>
    <m/>
    <m/>
    <s v="X"/>
    <s v="Au regard des problèmes de gestion des ordures ménagères, une étude mutualisée permettra de cibler les différents problèmes et d'y apporter une réponse adéquate"/>
    <n v="35000"/>
    <n v="42000"/>
    <n v="35000"/>
    <n v="17500"/>
    <s v="Répartition bailleurs à définir"/>
    <n v="0"/>
    <n v="8750"/>
    <n v="8750"/>
    <m/>
    <m/>
    <m/>
    <m/>
    <m/>
    <m/>
    <n v="1663"/>
    <n v="962"/>
    <m/>
    <n v="6125"/>
    <m/>
    <m/>
    <m/>
    <m/>
    <m/>
    <m/>
    <m/>
    <m/>
    <m/>
    <m/>
    <m/>
    <n v="0"/>
    <n v="0"/>
    <n v="0"/>
    <n v="0"/>
    <n v="0"/>
    <m/>
    <m/>
    <m/>
    <m/>
    <m/>
    <m/>
    <m/>
    <m/>
    <d v="2016-09-01T00:00:00"/>
    <n v="6"/>
    <n v="0"/>
    <n v="0"/>
    <n v="0"/>
    <n v="0"/>
  </r>
  <r>
    <s v="SAINT-DENIS"/>
    <s v="SD-CVI-INF"/>
    <s v="DEF-SD-CVI-10"/>
    <x v="11"/>
    <m/>
    <s v="QP093039"/>
    <m/>
    <s v="Etude sociologique parcours résidentiels et vie sociale"/>
    <m/>
    <s v="Urbaine"/>
    <s v="Etudes stratégiques"/>
    <s v="Ville de Saint-Denis"/>
    <m/>
    <m/>
    <s v="X"/>
    <s v="Cette étude, achevée en avril 2015, visait à étudier les parcours résidentiels des habitants du secteur Basilique et à évaluer leur cohabitation et les formes de vie sociale en jeu"/>
    <n v="0"/>
    <n v="0"/>
    <n v="0"/>
    <n v="0"/>
    <s v="Etude lancée hors subventions"/>
    <n v="0"/>
    <n v="0"/>
    <n v="0"/>
    <m/>
    <m/>
    <m/>
    <m/>
    <m/>
    <m/>
    <m/>
    <m/>
    <m/>
    <m/>
    <m/>
    <m/>
    <m/>
    <m/>
    <m/>
    <m/>
    <m/>
    <m/>
    <m/>
    <m/>
    <m/>
    <n v="0"/>
    <n v="0"/>
    <n v="0"/>
    <n v="0"/>
    <n v="0"/>
    <m/>
    <m/>
    <m/>
    <m/>
    <m/>
    <m/>
    <m/>
    <m/>
    <d v="2014-11-01T00:00:00"/>
    <n v="8"/>
    <n v="0"/>
    <n v="0"/>
    <n v="0"/>
    <n v="0"/>
  </r>
  <r>
    <s v="SAINT-DENIS"/>
    <s v="SD-FMO-01"/>
    <s v="DEF-SD-FMO-01"/>
    <x v="12"/>
    <s v="DDUS"/>
    <s v="QP093028"/>
    <s v="SD-FMO-01 / SD-FMO-06 / SD-FMO-07 / SD-FMO-05"/>
    <s v="Etude programmation urbaine / suivi projet urbain"/>
    <s v="Etudes urbaines Franc Moisin"/>
    <s v="Urbaine"/>
    <s v="Etudes stratégiques"/>
    <s v="Plaine Commune"/>
    <m/>
    <m/>
    <s v="X"/>
    <s v="Dans la continuité de l'étude de stratégie et de prospective urbaine achevée en 2015, cette nouvelle étude devra :_x000d__x000a_ _x000d__x000a_- Approfondir les grandes orientations en termes d'évolution urbaine du secteur à horizon 15-20 ans en proposant des actions opérationnelles._x000d__x000a_ _x000d__x000a_- Décliner ces orientations en un projet opérationnel à 5 ans, par secteur."/>
    <n v="80000"/>
    <n v="96000"/>
    <n v="80000"/>
    <n v="32000"/>
    <m/>
    <n v="0"/>
    <n v="20000"/>
    <n v="20000"/>
    <m/>
    <m/>
    <m/>
    <m/>
    <m/>
    <n v="10000"/>
    <m/>
    <m/>
    <m/>
    <n v="10000"/>
    <m/>
    <m/>
    <m/>
    <m/>
    <m/>
    <m/>
    <m/>
    <m/>
    <m/>
    <m/>
    <m/>
    <n v="8000"/>
    <n v="0"/>
    <n v="0"/>
    <n v="0"/>
    <n v="0"/>
    <m/>
    <m/>
    <m/>
    <m/>
    <m/>
    <m/>
    <m/>
    <m/>
    <d v="2016-03-16T00:00:00"/>
    <n v="18"/>
    <n v="0"/>
    <n v="0"/>
    <n v="0"/>
    <n v="0"/>
  </r>
  <r>
    <s v="SAINT-DENIS"/>
    <s v="SD-FMO-05"/>
    <s v="DEF-SD-FMO-01"/>
    <x v="12"/>
    <s v="DDUS"/>
    <s v="QP093028"/>
    <s v="SD-FMO-01 / SD-FMO-06 / SD-FMO-07 / SD-FMO-05"/>
    <s v="Actualisation plan de marchandisage + chiffrage pôle commercial"/>
    <s v="Etudes urbaines Franc Moisin"/>
    <s v="Économique"/>
    <s v="Etudes stratégiques"/>
    <s v="Plaine Commune"/>
    <m/>
    <m/>
    <s v="X"/>
    <s v="Il est prévu de décliner le schéma commercial élaboré à l’échelle quartier Francs Moisin de manière à élaborer un véritable plan de marchandisage, cellule par cellule."/>
    <n v="20000"/>
    <n v="24000"/>
    <n v="20000"/>
    <n v="0"/>
    <m/>
    <n v="0"/>
    <n v="10000"/>
    <n v="0"/>
    <m/>
    <m/>
    <m/>
    <m/>
    <m/>
    <m/>
    <m/>
    <m/>
    <m/>
    <m/>
    <m/>
    <m/>
    <m/>
    <m/>
    <m/>
    <m/>
    <m/>
    <m/>
    <m/>
    <m/>
    <m/>
    <n v="10000"/>
    <n v="0"/>
    <n v="0"/>
    <n v="0"/>
    <n v="0"/>
    <m/>
    <m/>
    <m/>
    <m/>
    <m/>
    <m/>
    <m/>
    <m/>
    <d v="2016-03-16T00:00:00"/>
    <n v="3"/>
    <n v="0"/>
    <n v="0"/>
    <n v="0"/>
    <n v="0"/>
  </r>
  <r>
    <s v="SAINT-DENIS"/>
    <s v="SD-FMO-06"/>
    <s v="DEF-SD-FMO-01"/>
    <x v="12"/>
    <s v="DDUS"/>
    <s v="QP093028"/>
    <s v="SD-FMO-01 / SD-FMO-06 / SD-FMO-07 / SD-FMO-05"/>
    <s v="Préparation montage opérationnel et juridique projet d'ensemble"/>
    <s v="Etudes urbaines Franc Moisin"/>
    <s v="Urbaine"/>
    <s v="Etudes stratégiques"/>
    <s v="Plaine Commune"/>
    <m/>
    <m/>
    <s v="X"/>
    <s v="Assistance au montage juridique et opérationnel du projet."/>
    <n v="40000"/>
    <n v="48000"/>
    <n v="40000"/>
    <n v="16000"/>
    <m/>
    <n v="0"/>
    <n v="20000"/>
    <n v="0"/>
    <m/>
    <m/>
    <m/>
    <m/>
    <m/>
    <m/>
    <m/>
    <m/>
    <m/>
    <m/>
    <m/>
    <m/>
    <m/>
    <m/>
    <m/>
    <m/>
    <m/>
    <m/>
    <m/>
    <m/>
    <m/>
    <n v="4000"/>
    <n v="0"/>
    <n v="0"/>
    <n v="0"/>
    <n v="0"/>
    <m/>
    <m/>
    <m/>
    <m/>
    <m/>
    <m/>
    <m/>
    <m/>
    <d v="2016-03-16T00:00:00"/>
    <n v="6"/>
    <n v="0"/>
    <n v="0"/>
    <n v="0"/>
    <n v="0"/>
  </r>
  <r>
    <s v="SAINT-DENIS"/>
    <s v="SD-FMO-07"/>
    <s v="DEF-SD-FMO-01"/>
    <x v="12"/>
    <s v="DDUS"/>
    <s v="QP093028"/>
    <s v="SD-FMO-01 / SD-FMO-06 / SD-FMO-07 / SD-FMO-05"/>
    <s v="Mission AMO stratégie et programmation équipements et associations"/>
    <s v="Etudes urbaines Franc Moisin"/>
    <s v="Urbaine"/>
    <s v="Equipements"/>
    <s v="Plaine Commune"/>
    <m/>
    <m/>
    <s v="X"/>
    <s v="Assistance à la mise en place d'une stratégie en matière d'implantation/maintien/ relocalisation d'associations et d'équipements._x000d__x000a_ _x000d__x000a_- Connaissance plus fine de l’offre d’équipements et et des publics concernés._x000d__x000a_- Prévision des coûts de gestion et de fonctionnement des équipements._x000d__x000a_- Etudier les besoins des associations du quartier."/>
    <n v="40000"/>
    <n v="48000"/>
    <n v="40000"/>
    <n v="20000"/>
    <m/>
    <n v="0"/>
    <n v="20000"/>
    <n v="0"/>
    <m/>
    <m/>
    <m/>
    <m/>
    <m/>
    <m/>
    <m/>
    <m/>
    <m/>
    <m/>
    <m/>
    <m/>
    <m/>
    <m/>
    <m/>
    <m/>
    <m/>
    <m/>
    <m/>
    <m/>
    <m/>
    <n v="0"/>
    <n v="0"/>
    <n v="0"/>
    <n v="0"/>
    <n v="0"/>
    <m/>
    <m/>
    <m/>
    <m/>
    <m/>
    <m/>
    <m/>
    <m/>
    <d v="2016-03-16T00:00:00"/>
    <n v="18"/>
    <n v="0"/>
    <n v="0"/>
    <n v="0"/>
    <n v="0"/>
  </r>
  <r>
    <s v="SAINT-DENIS"/>
    <s v="SD-FMO-02"/>
    <s v="DEF-SD-FMO-02"/>
    <x v="12"/>
    <s v="Finance"/>
    <s v="QP093028"/>
    <m/>
    <s v="Etude dimensionnement d'ouvrage dalle place rouge et rampe d'accès parking souterrain"/>
    <s v="Etude dimensionnement place rouge et rampe d'accès parking"/>
    <s v="Technique"/>
    <s v="Espaces extérieurs"/>
    <s v="Plaine Commune / PCH"/>
    <m/>
    <m/>
    <s v="X"/>
    <s v="Diagnostic portant sur la dalle place rouge et la rampe d'accès parking._x000d__x000a_ _x000d__x000a_Celui-ci permettra de définir la faisabilité et le coût du  projet de  voirie publique qui doit traverser le quartier sur un axe nord/sud reliant le cours du rû de Monfort à l'avenue Francis de Pressensé"/>
    <n v="24000"/>
    <n v="28800"/>
    <n v="24000"/>
    <n v="12000"/>
    <s v="Groupement de commande"/>
    <n v="0"/>
    <n v="6000"/>
    <n v="6000"/>
    <m/>
    <m/>
    <m/>
    <m/>
    <m/>
    <m/>
    <m/>
    <m/>
    <m/>
    <n v="6000"/>
    <m/>
    <m/>
    <m/>
    <m/>
    <m/>
    <m/>
    <m/>
    <m/>
    <m/>
    <m/>
    <m/>
    <n v="0"/>
    <n v="0"/>
    <n v="0"/>
    <n v="0"/>
    <n v="0"/>
    <m/>
    <m/>
    <m/>
    <m/>
    <m/>
    <m/>
    <m/>
    <m/>
    <d v="2016-03-16T00:00:00"/>
    <n v="3"/>
    <n v="0"/>
    <n v="0"/>
    <n v="0"/>
    <n v="0"/>
  </r>
  <r>
    <s v="SAINT-DENIS"/>
    <s v="SD-FMO-09"/>
    <s v="DEF-SD-FMO-03"/>
    <x v="12"/>
    <m/>
    <s v="QP093028"/>
    <m/>
    <s v="Etudes évolutions patrimoniales"/>
    <m/>
    <s v="Habitat"/>
    <s v="Logement"/>
    <s v="Logirep"/>
    <m/>
    <m/>
    <s v="X"/>
    <s v="Etudes diverses sur le patrimoine du bailleur permettant de définir un programme de travaux"/>
    <n v="120000"/>
    <n v="144000"/>
    <n v="120000"/>
    <n v="60000"/>
    <m/>
    <n v="0"/>
    <n v="0"/>
    <n v="60000"/>
    <m/>
    <m/>
    <m/>
    <m/>
    <m/>
    <n v="60000"/>
    <m/>
    <m/>
    <m/>
    <m/>
    <m/>
    <m/>
    <m/>
    <m/>
    <m/>
    <m/>
    <m/>
    <m/>
    <m/>
    <m/>
    <m/>
    <n v="0"/>
    <n v="0"/>
    <n v="0"/>
    <n v="0"/>
    <n v="0"/>
    <m/>
    <m/>
    <m/>
    <m/>
    <m/>
    <m/>
    <m/>
    <m/>
    <d v="2016-03-16T00:00:00"/>
    <n v="8"/>
    <n v="897"/>
    <n v="0"/>
    <n v="0"/>
    <n v="0"/>
  </r>
  <r>
    <s v="SAINT-DENIS"/>
    <s v="SD-FMO-10"/>
    <s v="DEF-SD-FMO-04"/>
    <x v="12"/>
    <m/>
    <s v="QP093028"/>
    <m/>
    <s v="Diagnostics techniques"/>
    <m/>
    <s v="Habitat"/>
    <s v="Logement"/>
    <s v="Logirep"/>
    <m/>
    <m/>
    <s v="X"/>
    <s v="Diagnostics techniques portant sur le patrimoine du bailleur, qui permettront de définir un programme et un coût de travaux"/>
    <n v="145000"/>
    <n v="174000"/>
    <n v="145000"/>
    <n v="72500"/>
    <m/>
    <n v="0"/>
    <n v="0"/>
    <n v="72500"/>
    <m/>
    <m/>
    <m/>
    <m/>
    <m/>
    <n v="72500"/>
    <m/>
    <m/>
    <m/>
    <m/>
    <m/>
    <m/>
    <m/>
    <m/>
    <m/>
    <m/>
    <m/>
    <m/>
    <m/>
    <m/>
    <m/>
    <n v="0"/>
    <n v="0"/>
    <n v="0"/>
    <n v="0"/>
    <n v="0"/>
    <m/>
    <m/>
    <m/>
    <m/>
    <m/>
    <m/>
    <m/>
    <m/>
    <d v="2016-06-01T00:00:00"/>
    <n v="6"/>
    <n v="897"/>
    <n v="0"/>
    <n v="0"/>
    <n v="0"/>
  </r>
  <r>
    <s v="SAINT-DENIS"/>
    <s v="SD-FMO-11"/>
    <s v="DEF-SD-FMO-05"/>
    <x v="12"/>
    <m/>
    <s v="QP093028"/>
    <m/>
    <s v="Diagnostic et études préalables à la réhabiltation Clos saint-Quentin (132-138 rue Danièlle Casanova)"/>
    <m/>
    <s v="Habitat"/>
    <s v="Logement"/>
    <s v="Maison du CIL"/>
    <m/>
    <m/>
    <s v="X"/>
    <s v="Diagnostics techniques portant sur le patrimoine du bailleur, qui permettront de définir un programme et un coût de travaux de réhabilitation"/>
    <n v="17500"/>
    <n v="21000"/>
    <n v="17500"/>
    <n v="8750"/>
    <m/>
    <n v="0"/>
    <n v="0"/>
    <n v="8750"/>
    <m/>
    <m/>
    <m/>
    <m/>
    <m/>
    <m/>
    <m/>
    <m/>
    <m/>
    <m/>
    <m/>
    <m/>
    <m/>
    <m/>
    <n v="8750"/>
    <m/>
    <m/>
    <m/>
    <m/>
    <m/>
    <m/>
    <n v="0"/>
    <n v="0"/>
    <n v="0"/>
    <n v="0"/>
    <n v="0"/>
    <m/>
    <m/>
    <m/>
    <m/>
    <m/>
    <m/>
    <m/>
    <m/>
    <d v="2016-04-01T00:00:00"/>
    <n v="18"/>
    <n v="184"/>
    <n v="0"/>
    <n v="0"/>
    <n v="0"/>
  </r>
  <r>
    <s v="SAINT-DENIS"/>
    <s v="SD-FSC-02"/>
    <s v="DEF-SD-FSC-02"/>
    <x v="13"/>
    <s v="DDUS"/>
    <s v="QP093040"/>
    <s v="SD-FSC-02 / SD-FSC-03"/>
    <s v="Etudes de capacités Floréal"/>
    <s v="Etudes urbaines floréal saussaie courtille"/>
    <s v="Urbaine"/>
    <s v="Etudes stratégiques"/>
    <s v="Plaine Commune"/>
    <m/>
    <m/>
    <s v="X"/>
    <s v="Dans la continuité de l'étude urbaine débutée en 2013 et achevée en 2015, cette étude vise à étudier les capacités de traduction des orientations dégagées sur le secteur Floréal en fonction des enjeux du quartier et des parcelles disponibles."/>
    <n v="0"/>
    <n v="0"/>
    <n v="0"/>
    <n v="0"/>
    <s v="Valorisation financement ANRU1"/>
    <n v="0"/>
    <n v="0"/>
    <n v="0"/>
    <m/>
    <m/>
    <m/>
    <m/>
    <m/>
    <m/>
    <m/>
    <m/>
    <m/>
    <m/>
    <m/>
    <m/>
    <m/>
    <m/>
    <m/>
    <m/>
    <m/>
    <m/>
    <m/>
    <m/>
    <m/>
    <n v="0"/>
    <n v="0"/>
    <n v="0"/>
    <n v="0"/>
    <n v="0"/>
    <m/>
    <m/>
    <m/>
    <m/>
    <m/>
    <m/>
    <m/>
    <m/>
    <d v="2016-03-01T00:00:00"/>
    <n v="2"/>
    <n v="0"/>
    <n v="0"/>
    <n v="0"/>
    <n v="0"/>
  </r>
  <r>
    <s v="SAINT-DENIS"/>
    <s v="SD-FSC-03"/>
    <s v="DEF-SD-FSC-02"/>
    <x v="13"/>
    <s v="DDUS"/>
    <s v="QP093040"/>
    <s v="SD-FSC-02 / SD-FSC-03"/>
    <s v="Plan de référence / Programmation urbaine"/>
    <s v="Etudes urbaines floréal saussaie courtille"/>
    <s v="Urbaine"/>
    <s v="Etudes stratégiques"/>
    <s v="Plaine Commune"/>
    <m/>
    <m/>
    <s v="X"/>
    <s v="S'appuyant sur les orientations de l'étude urbaine (2013-2015) et de l'étude de capacité Floréal, l'objectif est d'établir un schéma directeur et une programmation urbaine cohérente._x000d__x000a_ _x000d__x000a_- Traitement de l'entrée ouest du quartier_x000d__x000a_- Programmation sur les parcelles disponibles_x000d__x000a_- Aménagement des espaces publics_x000d__x000a_- Projet urbain sur Floréal Est_x000d__x000a_- Volet paysager incluant un plan de gestion et de préservation du patrimoine végétal_x000d__x000a_ _x000d__x000a_Ce shéma se déclinera dans une deuxième phase en secteurs opérationnnels."/>
    <n v="80000"/>
    <n v="96000"/>
    <n v="80000"/>
    <n v="32000"/>
    <s v="Part bailleur = PCH"/>
    <n v="0"/>
    <n v="20000"/>
    <n v="20000"/>
    <m/>
    <m/>
    <m/>
    <m/>
    <m/>
    <m/>
    <m/>
    <m/>
    <m/>
    <n v="20000"/>
    <m/>
    <m/>
    <m/>
    <m/>
    <m/>
    <m/>
    <m/>
    <m/>
    <m/>
    <m/>
    <m/>
    <n v="8000"/>
    <n v="0"/>
    <n v="0"/>
    <n v="0"/>
    <n v="0"/>
    <m/>
    <m/>
    <m/>
    <m/>
    <m/>
    <m/>
    <m/>
    <m/>
    <d v="2016-03-16T00:00:00"/>
    <n v="18"/>
    <n v="0"/>
    <n v="0"/>
    <n v="0"/>
    <n v="0"/>
  </r>
  <r>
    <s v="SAINT-DENIS"/>
    <s v="SD-FSC-04"/>
    <s v="DEF-SD-FSC-03"/>
    <x v="13"/>
    <m/>
    <s v="QP093040"/>
    <m/>
    <s v="Mission AMO architecture commerciale (pôle commercial de proximité basilique)+AMO gestion locative"/>
    <m/>
    <s v="Urbaine"/>
    <s v="Etudes stratégiques"/>
    <s v="OSICA"/>
    <m/>
    <m/>
    <s v="X"/>
    <s v="Au regard du dysfonctionnement du pôle commercial, OSICA souhaite solliciter les comptétences de bureaux détudes spécialisés en architecture commerciale et gestion des commerces"/>
    <n v="30000"/>
    <n v="36000"/>
    <n v="30000"/>
    <n v="15000"/>
    <s v="Part bailleur = OSICA"/>
    <n v="7500"/>
    <n v="0"/>
    <n v="7500"/>
    <m/>
    <m/>
    <m/>
    <m/>
    <n v="7500"/>
    <m/>
    <m/>
    <m/>
    <m/>
    <m/>
    <m/>
    <m/>
    <m/>
    <m/>
    <m/>
    <m/>
    <m/>
    <m/>
    <m/>
    <m/>
    <m/>
    <n v="0"/>
    <n v="0"/>
    <n v="0"/>
    <n v="0"/>
    <n v="0"/>
    <m/>
    <m/>
    <m/>
    <m/>
    <m/>
    <m/>
    <m/>
    <m/>
    <d v="2016-03-16T00:00:00"/>
    <n v="12"/>
    <m/>
    <n v="0"/>
    <n v="0"/>
    <n v="0"/>
  </r>
  <r>
    <s v="SAINT-DENIS"/>
    <s v="SD-CVI-04"/>
    <s v="DEF-SD-TRANS-01"/>
    <x v="14"/>
    <s v="Finance"/>
    <s v="QP093039"/>
    <s v="SD-CVI-04 / SD-CVI-05 / SD-FMO-04"/>
    <s v="Plan merchandisage ensemble centre-ville"/>
    <s v="Etude de développement économique"/>
    <s v="Économique"/>
    <s v="Etudes stratégiques"/>
    <s v="Plaine Commune"/>
    <m/>
    <m/>
    <s v="X"/>
    <s v="Il est prévu de décliner le schéma commercial élaboré à l’échelle du centre-ville de manière à élaborer un véritable plan de marchandisage, cellule par cellule."/>
    <n v="0"/>
    <n v="0"/>
    <n v="0"/>
    <n v="0"/>
    <s v="Valorisation financements PNRQAD (études déjà lancées)"/>
    <n v="0"/>
    <n v="0"/>
    <n v="0"/>
    <m/>
    <m/>
    <m/>
    <m/>
    <m/>
    <m/>
    <m/>
    <m/>
    <m/>
    <m/>
    <m/>
    <m/>
    <m/>
    <m/>
    <m/>
    <m/>
    <m/>
    <m/>
    <m/>
    <m/>
    <m/>
    <n v="0"/>
    <n v="0"/>
    <n v="0"/>
    <n v="0"/>
    <n v="0"/>
    <m/>
    <m/>
    <m/>
    <m/>
    <m/>
    <m/>
    <m/>
    <m/>
    <d v="2016-03-01T00:00:00"/>
    <n v="4"/>
    <n v="0"/>
    <n v="0"/>
    <n v="0"/>
    <n v="0"/>
  </r>
  <r>
    <s v="SAINT-DENIS"/>
    <s v="SD-CVI-05"/>
    <s v="DEF-SD-TRANS-01"/>
    <x v="14"/>
    <s v="Finance"/>
    <s v="QP093039"/>
    <s v="SD-CVI-04 / SD-CVI-05 / SD-FMO-04"/>
    <s v="Etude de préfiguration d'une Foncière commerce"/>
    <s v="Etude de développement économique"/>
    <s v="Économique"/>
    <s v="Etudes stratégiques"/>
    <s v="Plaine Commune"/>
    <m/>
    <m/>
    <s v="X"/>
    <s v="La redynamisation commerciale du centre-ville passe par la maîtrise de locaux stratégiques. _x000d__x000a_ _x000d__x000a_Un besoin de portage d’une centaine de locaux commerciaux, ciblés dans le centre-ville de Saint-Denis, a été identifié."/>
    <n v="0"/>
    <n v="0"/>
    <n v="0"/>
    <n v="0"/>
    <s v="Valorisation financements PNRQAD (études déjà lancées)"/>
    <n v="0"/>
    <n v="0"/>
    <n v="0"/>
    <m/>
    <m/>
    <m/>
    <m/>
    <m/>
    <m/>
    <m/>
    <m/>
    <m/>
    <m/>
    <m/>
    <m/>
    <m/>
    <m/>
    <m/>
    <m/>
    <m/>
    <m/>
    <m/>
    <m/>
    <m/>
    <n v="0"/>
    <n v="0"/>
    <n v="0"/>
    <n v="0"/>
    <n v="0"/>
    <m/>
    <m/>
    <m/>
    <m/>
    <m/>
    <m/>
    <m/>
    <m/>
    <d v="2016-03-01T00:00:00"/>
    <n v="7"/>
    <n v="0"/>
    <n v="0"/>
    <n v="0"/>
    <n v="0"/>
  </r>
  <r>
    <s v="SAINT-DENIS"/>
    <s v="SD-FMO-04"/>
    <s v="DEF-SD-TRANS-01"/>
    <x v="14"/>
    <s v="Finance"/>
    <s v="QP093028"/>
    <s v="SD-CVI-04 / SD-CVI-05 / SD-FMO-04"/>
    <s v="Stratégie développement économique"/>
    <s v="Etude de développement économique"/>
    <s v="Économique"/>
    <s v="Etudes stratégiques"/>
    <s v="Plaine Commune"/>
    <m/>
    <m/>
    <s v="X"/>
    <s v="Le secteur &quot;Charcuteries gourmanses/ France Pain/ Espace Bel Air, se caractérise par une grande pluralité d'activités et d'importantes emprises foncière disponibles à court et moyen terme._x000d__x000a_ _x000d__x000a_Situé dans un secteur améné à muter avec l'arrivée du T8 et de la Gare des six routes, il est pointé comme un secteur de développement économique opportun._x000d__x000a_ _x000d__x000a_Dans le but de conforter et d'amplifier la vocation de développement économique existante, cette étude permettrait d'établir une stratégie ambitieuse et cohérente."/>
    <n v="50000"/>
    <n v="60000"/>
    <n v="50000"/>
    <n v="0"/>
    <s v="etude à lancer avant signature protocole"/>
    <n v="0"/>
    <n v="25000"/>
    <n v="0"/>
    <m/>
    <m/>
    <m/>
    <m/>
    <m/>
    <m/>
    <m/>
    <m/>
    <m/>
    <m/>
    <m/>
    <m/>
    <m/>
    <m/>
    <m/>
    <m/>
    <m/>
    <m/>
    <m/>
    <m/>
    <m/>
    <n v="25000"/>
    <n v="0"/>
    <n v="0"/>
    <n v="0"/>
    <n v="0"/>
    <m/>
    <m/>
    <m/>
    <m/>
    <m/>
    <m/>
    <m/>
    <m/>
    <d v="2015-11-01T00:00:00"/>
    <n v="6"/>
    <n v="0"/>
    <n v="0"/>
    <n v="0"/>
    <n v="0"/>
  </r>
  <r>
    <s v="SAINT-DENIS"/>
    <s v="SD-CVI-17"/>
    <s v="DEF-SD-TRANS-02"/>
    <x v="14"/>
    <s v="Ville de Saint-Denis"/>
    <s v="QP093039"/>
    <s v="SD-CVI-17 / SD-FMO-03 / SD-FSC-01"/>
    <s v="Animation Maison du projet"/>
    <s v="Animation Maison du projet"/>
    <s v="Accompagnement"/>
    <s v="Accompagnement"/>
    <s v="Ville de Saint-Denis"/>
    <m/>
    <m/>
    <s v="X"/>
    <s v="Financement animation, fonctionnement, aménagement d'un équipement dédié ou d'un espace dédié dans un équipement de proximité existant"/>
    <n v="25000"/>
    <n v="30000"/>
    <n v="25000"/>
    <n v="12500"/>
    <m/>
    <n v="12500"/>
    <n v="0"/>
    <n v="0"/>
    <m/>
    <m/>
    <m/>
    <m/>
    <m/>
    <m/>
    <m/>
    <m/>
    <m/>
    <m/>
    <m/>
    <m/>
    <m/>
    <m/>
    <m/>
    <m/>
    <m/>
    <m/>
    <m/>
    <m/>
    <m/>
    <n v="0"/>
    <n v="0"/>
    <n v="0"/>
    <n v="0"/>
    <n v="0"/>
    <m/>
    <m/>
    <m/>
    <m/>
    <m/>
    <m/>
    <m/>
    <m/>
    <d v="2016-03-16T00:00:00"/>
    <n v="12"/>
    <n v="0"/>
    <n v="0"/>
    <n v="0"/>
    <n v="0"/>
  </r>
  <r>
    <s v="SAINT-DENIS"/>
    <s v="SD-FMO-03"/>
    <s v="DEF-SD-TRANS-02"/>
    <x v="14"/>
    <s v="Ville de Saint-Denis"/>
    <s v="QP093028"/>
    <s v="SD-CVI-17 / SD-FMO-03 / SD-FSC-01"/>
    <s v="Animation Maison du projet"/>
    <s v="Maison du projet"/>
    <s v="Accompagnement"/>
    <s v="Accompagnement"/>
    <s v="Ville de Saint-Denis"/>
    <m/>
    <m/>
    <s v="X"/>
    <s v="Financement animation, fonctionnement, aménagement d'un équipement dédié ou d'un espace dédié dans un équipement de proximité existant"/>
    <n v="25000"/>
    <n v="30000"/>
    <n v="25000"/>
    <n v="12500"/>
    <m/>
    <n v="12500"/>
    <n v="0"/>
    <n v="0"/>
    <m/>
    <m/>
    <m/>
    <m/>
    <m/>
    <m/>
    <m/>
    <m/>
    <m/>
    <m/>
    <m/>
    <m/>
    <m/>
    <m/>
    <m/>
    <m/>
    <m/>
    <m/>
    <m/>
    <m/>
    <m/>
    <n v="0"/>
    <n v="0"/>
    <n v="0"/>
    <n v="0"/>
    <n v="0"/>
    <m/>
    <m/>
    <m/>
    <m/>
    <m/>
    <m/>
    <m/>
    <m/>
    <d v="2016-03-16T00:00:00"/>
    <n v="12"/>
    <n v="0"/>
    <n v="0"/>
    <n v="0"/>
    <n v="0"/>
  </r>
  <r>
    <s v="SAINT-DENIS"/>
    <s v="SD-FSC-01"/>
    <s v="DEF-SD-TRANS-02"/>
    <x v="14"/>
    <s v="Ville de Saint-Denis"/>
    <s v="QP093040"/>
    <s v="SD-CVI-17 / SD-FMO-03 / SD-FSC-01/"/>
    <s v="Animation Maison du projet"/>
    <s v="Animation Maison du projet"/>
    <s v="Accompagnement"/>
    <s v="Accompagnement"/>
    <s v="Ville de Saint-Denis"/>
    <m/>
    <m/>
    <s v="X"/>
    <s v="Financement  aménagement d'un équipement dédié ou d'un espace dédié dans un équipement de proximité existant et/ou d'un lieu mobile"/>
    <n v="25000"/>
    <n v="30000"/>
    <n v="25000"/>
    <n v="12500"/>
    <m/>
    <n v="12500"/>
    <n v="0"/>
    <n v="0"/>
    <m/>
    <m/>
    <m/>
    <m/>
    <m/>
    <m/>
    <m/>
    <m/>
    <m/>
    <m/>
    <m/>
    <m/>
    <m/>
    <m/>
    <m/>
    <m/>
    <m/>
    <m/>
    <m/>
    <m/>
    <m/>
    <n v="0"/>
    <n v="0"/>
    <n v="0"/>
    <n v="0"/>
    <n v="0"/>
    <m/>
    <m/>
    <m/>
    <m/>
    <m/>
    <m/>
    <m/>
    <m/>
    <d v="2016-03-16T00:00:00"/>
    <n v="12"/>
    <n v="0"/>
    <n v="0"/>
    <n v="0"/>
    <n v="0"/>
  </r>
  <r>
    <s v="SAINT-DENIS"/>
    <s v="SD-CVI-18"/>
    <s v="DEF-SD-TRANS-03"/>
    <x v="14"/>
    <s v="Ville de Saint-Denis"/>
    <s v="QP093039"/>
    <s v="SD-CVI-18 / SD-FMO-08 / SD-FSC-05"/>
    <s v="Expertises habitants"/>
    <s v="Expertises habitants"/>
    <s v="Accompagnement"/>
    <s v="Accompagnement"/>
    <s v="Ville de Saint-Denis"/>
    <m/>
    <m/>
    <s v="X"/>
    <s v="Budget reservé pour les futurs conseils citoyens, pour financer leurs propres expertises indépendantes"/>
    <n v="20000"/>
    <n v="24000"/>
    <n v="20000"/>
    <n v="10000"/>
    <m/>
    <n v="10000"/>
    <n v="0"/>
    <n v="0"/>
    <m/>
    <m/>
    <m/>
    <m/>
    <m/>
    <m/>
    <m/>
    <m/>
    <m/>
    <m/>
    <m/>
    <m/>
    <m/>
    <m/>
    <m/>
    <m/>
    <m/>
    <m/>
    <m/>
    <m/>
    <m/>
    <n v="0"/>
    <n v="0"/>
    <n v="0"/>
    <n v="0"/>
    <n v="0"/>
    <m/>
    <m/>
    <m/>
    <m/>
    <m/>
    <m/>
    <m/>
    <m/>
    <d v="2016-03-16T00:00:00"/>
    <n v="12"/>
    <n v="0"/>
    <n v="0"/>
    <n v="0"/>
    <n v="0"/>
  </r>
  <r>
    <s v="SAINT-DENIS"/>
    <s v="SD-FMO-08"/>
    <s v="DEF-SD-TRANS-03"/>
    <x v="14"/>
    <s v="Ville de Saint-Denis"/>
    <s v="QP093028"/>
    <s v="SD-CVI-18 / SD-FMO-08 / SD-FSC-05"/>
    <s v="Expertises habitants"/>
    <s v="Expertises habitants"/>
    <s v="Accompagnement"/>
    <s v="Accompagnement"/>
    <s v="Ville de Saint-Denis"/>
    <m/>
    <m/>
    <s v="X"/>
    <s v="Budget reservé pour les futurs conseils citoyens, pour financer leur propre expertise indépendante"/>
    <n v="20000"/>
    <n v="24000"/>
    <n v="20000"/>
    <n v="10000"/>
    <m/>
    <n v="10000"/>
    <n v="0"/>
    <n v="0"/>
    <m/>
    <m/>
    <m/>
    <m/>
    <m/>
    <m/>
    <m/>
    <m/>
    <m/>
    <m/>
    <m/>
    <m/>
    <m/>
    <m/>
    <m/>
    <m/>
    <m/>
    <m/>
    <m/>
    <m/>
    <m/>
    <n v="0"/>
    <n v="0"/>
    <n v="0"/>
    <n v="0"/>
    <n v="0"/>
    <m/>
    <m/>
    <m/>
    <m/>
    <m/>
    <m/>
    <m/>
    <m/>
    <d v="2016-03-16T00:00:00"/>
    <n v="12"/>
    <n v="0"/>
    <n v="0"/>
    <n v="0"/>
    <n v="0"/>
  </r>
  <r>
    <s v="SAINT-DENIS"/>
    <s v="SD-FSC-05"/>
    <s v="DEF-SD-TRANS-03"/>
    <x v="14"/>
    <s v="Ville de Saint-Denis"/>
    <s v="QP093040"/>
    <s v="SD-CVI-18 / SD-FMO-08 / SD-FSC-05"/>
    <s v="Expertises habitants"/>
    <s v="Expertises habitants"/>
    <s v="Accompagnement"/>
    <s v="Accompagnement"/>
    <s v="Ville de Saint-Denis"/>
    <m/>
    <m/>
    <s v="X"/>
    <s v="Budget reservé pour les futurs conseils citoyens, pour financer leur propre expertise indépendante"/>
    <n v="20000"/>
    <n v="24000"/>
    <n v="20000"/>
    <n v="10000"/>
    <m/>
    <n v="10000"/>
    <n v="0"/>
    <n v="0"/>
    <m/>
    <m/>
    <m/>
    <m/>
    <m/>
    <m/>
    <m/>
    <m/>
    <m/>
    <m/>
    <m/>
    <m/>
    <m/>
    <m/>
    <m/>
    <m/>
    <m/>
    <m/>
    <m/>
    <m/>
    <m/>
    <n v="0"/>
    <n v="0"/>
    <n v="0"/>
    <n v="0"/>
    <n v="0"/>
    <m/>
    <m/>
    <m/>
    <m/>
    <m/>
    <m/>
    <m/>
    <m/>
    <d v="2016-03-16T00:00:00"/>
    <n v="12"/>
    <n v="0"/>
    <n v="0"/>
    <n v="0"/>
    <n v="0"/>
  </r>
  <r>
    <s v="SAINT-DENIS"/>
    <s v="SD-CVI-25"/>
    <s v="DEF-SD-TRANS-04"/>
    <x v="14"/>
    <s v="PCH"/>
    <m/>
    <s v="SD-CVI-25 / SD-CVI-26 / SD-FMO-18 / SD-FSC-13 / SD-FSC-15"/>
    <s v="Etude patrimoniale (Ilot 8)"/>
    <s v="Etude Patrimoniale"/>
    <s v="Habitat"/>
    <s v="Logement"/>
    <s v="PCH"/>
    <m/>
    <m/>
    <s v="X"/>
    <s v="L'estimation de l'état structurel du bâtiment dans le cadre d'une réhabilitation et d'une démolition est indispensable pour définir au mieux les coûts d'investissement à inscrire dans la convention à échéance du protocole."/>
    <n v="55000"/>
    <n v="66000"/>
    <n v="55000"/>
    <n v="27500"/>
    <m/>
    <n v="0"/>
    <n v="0"/>
    <n v="27500"/>
    <m/>
    <m/>
    <m/>
    <m/>
    <m/>
    <m/>
    <m/>
    <m/>
    <m/>
    <n v="27500"/>
    <m/>
    <m/>
    <m/>
    <m/>
    <m/>
    <m/>
    <m/>
    <m/>
    <m/>
    <m/>
    <m/>
    <n v="0"/>
    <n v="0"/>
    <n v="0"/>
    <n v="0"/>
    <n v="0"/>
    <m/>
    <m/>
    <m/>
    <m/>
    <m/>
    <m/>
    <m/>
    <m/>
    <d v="2016-03-16T00:00:00"/>
    <n v="6"/>
    <n v="395"/>
    <n v="0"/>
    <n v="0"/>
    <n v="0"/>
  </r>
  <r>
    <s v="SAINT-DENIS"/>
    <s v="SD-CVI-26"/>
    <s v="DEF-SD-TRANS-04"/>
    <x v="14"/>
    <s v="PCH"/>
    <m/>
    <s v="SD-CVI-25 / SD-CVI-26 / SD-FMO-18 / SD-FSC-13 / SD-FSC-15"/>
    <s v="Diagnostic social sur le secteur Basilique (Ilot 1-3-8)"/>
    <s v="Diagnostic Social"/>
    <s v="Habitat"/>
    <s v="Logement"/>
    <s v="PCH"/>
    <m/>
    <m/>
    <s v="X"/>
    <s v="Une enquête sociale permettra de prendre en compte, entre autres, la capacité financière  des habitants (ressources, reste à vivre) dans la définition des projets de réhabilitation ou de relogements dans une optique de diversité de l'habitat ."/>
    <n v="58028"/>
    <n v="69634"/>
    <n v="58028"/>
    <n v="29014"/>
    <m/>
    <n v="0"/>
    <n v="0"/>
    <n v="29014"/>
    <m/>
    <m/>
    <m/>
    <m/>
    <m/>
    <m/>
    <m/>
    <m/>
    <m/>
    <n v="29014"/>
    <m/>
    <m/>
    <m/>
    <m/>
    <m/>
    <m/>
    <m/>
    <m/>
    <m/>
    <m/>
    <m/>
    <n v="0"/>
    <n v="0"/>
    <n v="0"/>
    <n v="0"/>
    <n v="0"/>
    <m/>
    <m/>
    <m/>
    <m/>
    <m/>
    <m/>
    <m/>
    <m/>
    <d v="2015-11-01T00:00:00"/>
    <n v="6"/>
    <n v="652"/>
    <n v="0"/>
    <n v="0"/>
    <n v="0"/>
  </r>
  <r>
    <s v="SAINT-DENIS"/>
    <s v="SD-FMO-18"/>
    <s v="DEF-SD-TRANS-04"/>
    <x v="14"/>
    <s v="PCH"/>
    <m/>
    <s v="SD-CVI-25 / SD-CVI-26 / SD-FMO-18 / SD-FSC-13 / SD-FSC-15"/>
    <s v="Diagnostic social ensemble des logements"/>
    <s v="Diagnostic Social"/>
    <s v="Habitat"/>
    <s v="Logement"/>
    <s v="PCH"/>
    <m/>
    <m/>
    <s v="X"/>
    <s v="Une enquête sociale permettra de prendre en compte, entre autres, la capacité financière  des habitants (ressources, reste à vivre) dans la définition des projets de réhabilitation ou de relogements dans une optique de diversité de l'habitat ."/>
    <n v="96549"/>
    <n v="115859"/>
    <n v="96549"/>
    <n v="48275"/>
    <m/>
    <n v="0"/>
    <n v="0"/>
    <n v="48275"/>
    <m/>
    <m/>
    <m/>
    <m/>
    <m/>
    <m/>
    <m/>
    <m/>
    <m/>
    <n v="48275"/>
    <m/>
    <m/>
    <m/>
    <m/>
    <m/>
    <m/>
    <m/>
    <m/>
    <m/>
    <m/>
    <m/>
    <n v="0"/>
    <n v="0"/>
    <n v="0"/>
    <n v="0"/>
    <n v="0"/>
    <m/>
    <m/>
    <m/>
    <m/>
    <m/>
    <m/>
    <m/>
    <m/>
    <d v="2016-03-16T00:00:00"/>
    <n v="6"/>
    <n v="973"/>
    <n v="0"/>
    <n v="-1"/>
    <n v="-1"/>
  </r>
  <r>
    <s v="SAINT-DENIS"/>
    <s v="SD-FSC-13"/>
    <s v="DEF-SD-TRANS-04"/>
    <x v="14"/>
    <s v="PCH"/>
    <m/>
    <s v="SD-CVI-25 / SD-CVI-26 / SD-FMO-18 / SD-FSC-13 / SD-FSC-15"/>
    <s v="Etude patrimoniale Floréal Est"/>
    <s v="Etude Patrimoniale"/>
    <s v="Habitat"/>
    <s v="Logement"/>
    <s v="PCH"/>
    <m/>
    <m/>
    <s v="X"/>
    <s v="L'estimation de l'état structurel du bâtiment dans le cadre d'une réhabilitation et d'une démolition est indispensable pour définir au mieux les coûts d'investissement à inscrire dans la convention à échéance du protocole."/>
    <n v="20000"/>
    <n v="24000"/>
    <n v="20000"/>
    <n v="10000"/>
    <m/>
    <n v="0"/>
    <n v="0"/>
    <n v="10000"/>
    <m/>
    <m/>
    <m/>
    <m/>
    <m/>
    <m/>
    <m/>
    <m/>
    <m/>
    <n v="10000"/>
    <m/>
    <m/>
    <m/>
    <m/>
    <m/>
    <m/>
    <m/>
    <m/>
    <m/>
    <m/>
    <m/>
    <n v="0"/>
    <n v="0"/>
    <n v="0"/>
    <n v="0"/>
    <n v="0"/>
    <m/>
    <m/>
    <m/>
    <m/>
    <m/>
    <m/>
    <m/>
    <m/>
    <d v="2016-03-16T00:00:00"/>
    <n v="3"/>
    <n v="649"/>
    <n v="0"/>
    <n v="0"/>
    <n v="0"/>
  </r>
  <r>
    <s v="SAINT-DENIS"/>
    <s v="SD-FSC-15"/>
    <s v="DEF-SD-TRANS-04"/>
    <x v="14"/>
    <s v="PCH"/>
    <m/>
    <s v="SD-CVI-25 / SD-CVI-26 / SD-FMO-18 / SD-FSC-13 / SD-FSC-15"/>
    <s v="Diagnostic social Floréal Est"/>
    <s v="Diagnostic Social"/>
    <s v="Habitat"/>
    <s v="Logement"/>
    <s v="PCH"/>
    <m/>
    <m/>
    <s v="X"/>
    <s v="Une enquête sociale permettra de prendre en compte, entre autres, la capacité financière  des habitants (ressources, reste à vivre) dans la définition des projets de réhabilitation ou de relogements dans une optique de diversité de l'habitat ."/>
    <n v="10285"/>
    <n v="12342"/>
    <n v="10285"/>
    <n v="5143"/>
    <m/>
    <n v="0"/>
    <n v="0"/>
    <n v="5143"/>
    <m/>
    <m/>
    <m/>
    <m/>
    <m/>
    <m/>
    <m/>
    <m/>
    <m/>
    <n v="5143"/>
    <m/>
    <m/>
    <m/>
    <m/>
    <m/>
    <m/>
    <m/>
    <m/>
    <m/>
    <m/>
    <m/>
    <n v="0"/>
    <n v="0"/>
    <n v="0"/>
    <n v="0"/>
    <n v="0"/>
    <m/>
    <m/>
    <m/>
    <m/>
    <m/>
    <m/>
    <m/>
    <m/>
    <d v="2016-03-16T00:00:00"/>
    <n v="3"/>
    <n v="85"/>
    <n v="0"/>
    <n v="-1"/>
    <n v="-1"/>
  </r>
  <r>
    <s v="SAINT-DENIS"/>
    <s v="SD-CVI-27"/>
    <s v="DEF-SD-TRANS-05"/>
    <x v="14"/>
    <s v="PCH"/>
    <m/>
    <s v="SD-CVI-27 / SD-FMO-19 / SD-FSC-14 /SD-FSC-16"/>
    <s v="Diagnostic technique du bâti"/>
    <s v="Diagnostic technique"/>
    <s v="Habitat"/>
    <s v="Logement"/>
    <s v="PCH"/>
    <m/>
    <m/>
    <s v="X"/>
    <s v="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
    <n v="50000"/>
    <n v="60000"/>
    <n v="50000"/>
    <n v="25000"/>
    <m/>
    <n v="0"/>
    <n v="0"/>
    <n v="25000"/>
    <m/>
    <m/>
    <m/>
    <m/>
    <m/>
    <m/>
    <m/>
    <m/>
    <m/>
    <n v="25000"/>
    <m/>
    <m/>
    <m/>
    <m/>
    <m/>
    <m/>
    <m/>
    <m/>
    <m/>
    <m/>
    <m/>
    <n v="0"/>
    <n v="0"/>
    <n v="0"/>
    <n v="0"/>
    <n v="0"/>
    <m/>
    <m/>
    <m/>
    <m/>
    <m/>
    <m/>
    <m/>
    <m/>
    <d v="2016-03-16T00:00:00"/>
    <n v="4"/>
    <n v="850"/>
    <n v="0"/>
    <n v="0"/>
    <n v="0"/>
  </r>
  <r>
    <s v="SAINT-DENIS"/>
    <s v="SD-FMO-19"/>
    <s v="DEF-SD-TRANS-05"/>
    <x v="14"/>
    <s v="PCH"/>
    <m/>
    <s v="SD-CVI-27 / SD-FMO-19 / SD-FSC-14 /SD-FSC-16"/>
    <s v="Diagnostic technique et amiante B1/B2"/>
    <s v="Diagnostic technique"/>
    <s v="Habitat"/>
    <s v="Logement"/>
    <s v="PCH"/>
    <m/>
    <m/>
    <s v="X"/>
    <s v="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
    <n v="101329"/>
    <n v="121595"/>
    <n v="101329"/>
    <n v="50665"/>
    <m/>
    <n v="0"/>
    <n v="0"/>
    <n v="50665"/>
    <m/>
    <m/>
    <m/>
    <m/>
    <m/>
    <m/>
    <m/>
    <m/>
    <m/>
    <n v="50665"/>
    <m/>
    <m/>
    <m/>
    <m/>
    <m/>
    <m/>
    <m/>
    <m/>
    <m/>
    <m/>
    <m/>
    <n v="0"/>
    <n v="0"/>
    <n v="0"/>
    <n v="0"/>
    <n v="0"/>
    <m/>
    <m/>
    <m/>
    <m/>
    <m/>
    <m/>
    <m/>
    <m/>
    <d v="2016-03-16T00:00:00"/>
    <n v="6"/>
    <n v="311"/>
    <n v="0"/>
    <n v="-1"/>
    <n v="-1"/>
  </r>
  <r>
    <s v="SAINT-DENIS"/>
    <s v="SD-FSC-14"/>
    <s v="DEF-SD-TRANS-05"/>
    <x v="14"/>
    <s v="PCH"/>
    <m/>
    <s v="SD-CVI-27 / SD-FMO-19 / SD-FSC-14 /SD-FSC-16"/>
    <s v="Diagnostic technique Floréal Est"/>
    <s v="Diagnostic technique"/>
    <s v="Habitat"/>
    <s v="Logement"/>
    <s v="PCH"/>
    <m/>
    <m/>
    <s v="X"/>
    <s v="L'estimation de la présence d'amiante et son ampleur dans le cadre d'une réhabilitation et d'une démolition est indispensable, au vu des dernières réglementations en vigueur, pour définir au mieux les coûts d'investissement à inscrire dans la convention à échéance du protocole."/>
    <n v="19720"/>
    <n v="23664"/>
    <n v="19720"/>
    <n v="9860"/>
    <m/>
    <n v="0"/>
    <n v="0"/>
    <n v="9860"/>
    <m/>
    <m/>
    <m/>
    <m/>
    <m/>
    <m/>
    <m/>
    <m/>
    <m/>
    <n v="9860"/>
    <m/>
    <m/>
    <m/>
    <m/>
    <m/>
    <m/>
    <m/>
    <m/>
    <m/>
    <m/>
    <m/>
    <n v="0"/>
    <n v="0"/>
    <n v="0"/>
    <n v="0"/>
    <n v="0"/>
    <m/>
    <m/>
    <m/>
    <m/>
    <m/>
    <m/>
    <m/>
    <m/>
    <d v="2016-03-16T00:00:00"/>
    <n v="3"/>
    <n v="85"/>
    <n v="0"/>
    <n v="0"/>
    <n v="0"/>
  </r>
  <r>
    <s v="SAINT-DENIS"/>
    <s v="SD-FSC-16"/>
    <s v="DEF-SD-TRANS-05"/>
    <x v="14"/>
    <s v="PCH"/>
    <m/>
    <s v="SD-CVI-27 / SD-FMO-19 / SD-FSC-14 /SD-FSC-16"/>
    <s v="Etude thermique Floréal Est"/>
    <s v="Etude Thermique"/>
    <s v="Habitat"/>
    <s v="Logement"/>
    <s v="PCH"/>
    <m/>
    <m/>
    <s v="X"/>
    <s v="L'étude patrimoniale aura pour vocation tout en maintenant le patrimoine existant de mener une réflexion sur la politique de peuplement et son évolution dans l'hypothèse d'une diversité de l'habitat"/>
    <n v="50000"/>
    <n v="60000"/>
    <n v="50000"/>
    <n v="25000"/>
    <m/>
    <n v="0"/>
    <n v="0"/>
    <n v="25000"/>
    <m/>
    <m/>
    <m/>
    <m/>
    <m/>
    <m/>
    <m/>
    <m/>
    <m/>
    <n v="25000"/>
    <m/>
    <m/>
    <m/>
    <m/>
    <m/>
    <m/>
    <m/>
    <m/>
    <m/>
    <m/>
    <m/>
    <n v="0"/>
    <n v="0"/>
    <n v="0"/>
    <n v="0"/>
    <n v="0"/>
    <m/>
    <m/>
    <m/>
    <m/>
    <m/>
    <m/>
    <m/>
    <m/>
    <d v="2016-03-16T00:00:00"/>
    <n v="4"/>
    <n v="649"/>
    <n v="0"/>
    <n v="0"/>
    <n v="0"/>
  </r>
  <r>
    <s v="SAINT-OUEN"/>
    <s v="SO-COR-03"/>
    <s v="DEF-SO-COR-01"/>
    <x v="15"/>
    <m/>
    <s v="QP093044"/>
    <m/>
    <s v="Diagnostic social"/>
    <m/>
    <s v="Habitat"/>
    <s v="Logement"/>
    <s v="Antin résidences"/>
    <m/>
    <m/>
    <s v="X"/>
    <s v="Une enquête sociale permettra de prendre en compte, entre autres, la capacité financière  des habitants (ressources, reste à vivre) dans la définition des projets de réhabilitation ou de relogements dans une optique de diversité de l'habitat_x000d__x000a_ _x000d__x000a_Historique: Aucun diagnostic social à ce jour_x000d__x000a_ _x000d__x000a_Objet de l'étude : Une enquête sociale comprenant un volet démographique, sociologique et économique permettant de clarifier les principaux enjeux sociaux dans la perspective d'un projet de renouvellement urbain."/>
    <n v="25000"/>
    <n v="30000"/>
    <n v="25000"/>
    <n v="12500"/>
    <m/>
    <n v="0"/>
    <n v="0"/>
    <n v="12500"/>
    <m/>
    <m/>
    <m/>
    <m/>
    <m/>
    <m/>
    <m/>
    <n v="12500"/>
    <m/>
    <m/>
    <m/>
    <m/>
    <m/>
    <m/>
    <m/>
    <m/>
    <m/>
    <m/>
    <m/>
    <m/>
    <m/>
    <n v="0"/>
    <n v="0"/>
    <n v="0"/>
    <n v="0"/>
    <n v="0"/>
    <m/>
    <m/>
    <m/>
    <m/>
    <m/>
    <m/>
    <m/>
    <m/>
    <d v="2016-03-16T00:00:00"/>
    <n v="4"/>
    <n v="308"/>
    <n v="0"/>
    <n v="0"/>
    <n v="0"/>
  </r>
  <r>
    <s v="SAINT-OUEN"/>
    <s v="SO-COR-02"/>
    <s v="DEF-SO-COR-02"/>
    <x v="15"/>
    <m/>
    <s v="QP093044"/>
    <m/>
    <s v="Etude diagnostic technique du patrimoine bâti"/>
    <m/>
    <s v="Habitat"/>
    <s v="Logement"/>
    <s v="Antin résidences"/>
    <m/>
    <m/>
    <s v="X"/>
    <s v="Un diagnostic technique du bâti permettra de disposer d'une connaissance précise de l'état du bâti afin de préciser le projet et ses modalités de mise en œuvre (démolition, réhabilitation, restructuration, requalification, etc.…). _x000d__x000a_ _x000d__x000a_Cette étude devra notamment prendre en compte le rapport bâti-espaces extérieurs et intégrer la perspective de mise en œuvre de solutions techniques couvrant aussi largement que possible les paramètres de baisse des charges, économie des ressources et préservation de l'environnement._x000d__x000a_ _x000d__x000a_Particulièrement, ce diagnostic devra aborder les aspects relatifs à l’enveloppe des immeubles, aux parties communes, aux logements ainsi qu’aux objectifs d’amélioration des performances thermiques. _x000d__x000a_L’étude devra également comprendre un volet sur la typologie et le confort des logements ainsi que leurs potentiels d’adaptation aux besoins et évolutions des ménages."/>
    <n v="35000"/>
    <n v="42000"/>
    <n v="35000"/>
    <n v="17500"/>
    <m/>
    <n v="0"/>
    <n v="0"/>
    <n v="17500"/>
    <m/>
    <m/>
    <m/>
    <m/>
    <m/>
    <m/>
    <m/>
    <n v="17500"/>
    <m/>
    <m/>
    <m/>
    <m/>
    <m/>
    <m/>
    <m/>
    <m/>
    <m/>
    <m/>
    <m/>
    <m/>
    <m/>
    <n v="0"/>
    <n v="0"/>
    <n v="0"/>
    <n v="0"/>
    <n v="0"/>
    <m/>
    <m/>
    <m/>
    <m/>
    <m/>
    <m/>
    <m/>
    <m/>
    <d v="2016-03-16T00:00:00"/>
    <n v="4"/>
    <n v="308"/>
    <n v="0"/>
    <n v="0"/>
    <n v="0"/>
  </r>
  <r>
    <s v="ILE SAINT-DENIS"/>
    <s v="ISD-QSU-01"/>
    <s v="DEF-SO-ISD-01"/>
    <x v="16"/>
    <s v="DDUS"/>
    <s v="QP093034"/>
    <s v="ISD-QSU-01 / VSO-COR-01 / SO-COR-01"/>
    <s v="Approfondissement de l'étude urbaine sur le Quartier Sud"/>
    <s v="Etude urbaine"/>
    <s v="Urbaine"/>
    <s v="Etudes stratégiques"/>
    <s v="Plaine Commune"/>
    <m/>
    <m/>
    <s v="X"/>
    <s v="Historique_x000d__x000a_Une étude urbaine, confiée en 2014/2015, à l’Atelier Albert Amar (architecture-urbanisme), Atelier de l’île (paysage), Bénédicte de Lataulade (sociologue), SARECO (mobilité/stationnement) et SETU (VRD), a défini un scénario d’aménagement pour le NPRU et une approche du chiffrage des interventions. _x000d__x000a_Objet de l’étude _x000d__x000a_Un approfondissement de cette étude vise à consolider le projet urbain et sa déclinaison opérationnelle qui doit : _x000d__x000a_S’inscrire dans un territoire élargi, en prolongeant la dynamique de transformation en cours et en s’inscrivant dans les principes de l’éco quartier fluvial, _x000d__x000a_Prendre en compte les enjeux paysagers du secteur, conquérir les berges de Seine via des continuités douces et paysagères_x000d__x000a_Prendre appui sur les éléments patrimoniaux_x000d__x000a_Prendre en compte la requalification du boulevard Marcel Paul pour concilier les dimensions routières et urbaines de la voie_x000d__x000a_Conserver et réhabiliter le patrimoine du bailleur_x000d__x000a_Proposer une réorganisation du stationnement selon le modèle de l’éco quartier fluvial et permettant la requalification de l’espace public_x000d__x000a_Définir le programme de requalification des espaces publics, dans un souci de tranquillité publique et de lien social, _x000d__x000a_Définir le programme de résidentialisation des espaces extérieurs_x000d__x000a_Prestations attendues _x000d__x000a_Consolidation du projet urbain et définition précise de la programmation urbaine, consolidation de la définition des espaces publics (profils, matériaux,…) et de la déclinaison opérationnelle (cahier de prescriptions urbaines, paysagères et architecturales, fiches de lots…), du phasage et du chiffrage du scénario retenu et des aménagements. _x000d__x000a_ _x000d__x000a_Calendrier _x000d__x000a_Lancement de l’étude au premier semestre 2016_x000d_"/>
    <n v="70000"/>
    <n v="84000"/>
    <n v="70000"/>
    <n v="28000"/>
    <m/>
    <n v="0"/>
    <n v="35000"/>
    <n v="0"/>
    <m/>
    <m/>
    <m/>
    <m/>
    <m/>
    <m/>
    <m/>
    <m/>
    <m/>
    <m/>
    <m/>
    <m/>
    <m/>
    <m/>
    <m/>
    <m/>
    <m/>
    <m/>
    <m/>
    <m/>
    <m/>
    <n v="7000"/>
    <n v="0"/>
    <n v="0"/>
    <n v="0"/>
    <n v="0"/>
    <m/>
    <m/>
    <m/>
    <m/>
    <m/>
    <m/>
    <m/>
    <m/>
    <d v="2016-03-16T00:00:00"/>
    <n v="6"/>
    <n v="0"/>
    <n v="0"/>
    <n v="0"/>
    <n v="0"/>
  </r>
  <r>
    <s v="SAINT-OUEN"/>
    <s v="SO-COR-01"/>
    <s v="DEF-SO-ISD-01"/>
    <x v="16"/>
    <s v="DDUS"/>
    <s v="QP093044"/>
    <s v="ISD-QSU-01 / VSO-COR-01 / SO-COR-01"/>
    <s v="Etude espace public articulation Cordon / Centre Ville"/>
    <s v="Etudes urbaines"/>
    <s v="Urbaine"/>
    <s v="Etudes stratégiques"/>
    <s v="Plaine Commune"/>
    <m/>
    <m/>
    <s v="X"/>
    <s v="Etudes préalables _x000d__x000a_Etude préalable de requalification des espaces publics pour accompagner l’arrivée de la L14 : La communauté d’Agglomération Plaine Commune a lancé en 2013 une étude sur le centre ville de Saint-Ouen qui a pour objet de pouvoir accompagner l’arrivée de la ligne 14 et de retrouver des liens interquartiers entre le Centre Ville, Cordon, Vieux Saint-Ouen, les Docks._x000d__x000a_ _x000d__x000a_Objectifs _x000d__x000a_En lien avec l’étude urbaine, la mission aura pour objectif de proposer un aménagement de qualité des espaces publics depuis la cité Cordon jusqu’aux stations de métro et au centre ville de Saint-Ouen. _x000d__x000a_Le principal objectif est de favoriser le raccrochage du quartier au centre ville. _x000d__x000a_Une articulation avec l’étude du Département sur la RD sera nécessaire. _x000d__x000a_ _x000d__x000a_Prestations attendues _x000d__x000a_Plan d’aménagement des espaces publics niveau AVP _x000d__x000a_Prise en compte des accès parkings de la Patinoire et des abords /RDC de l’équipement, de la gestion des bus_x000d__x000a_Plan paysager_x000d__x000a_ _x000d__x000a_Calendrier prévisionnel : démarrage avant la fin de l’étude urbaine pour assurer un travail itératif entre les prestataires."/>
    <n v="33000"/>
    <n v="39600"/>
    <n v="33000"/>
    <n v="16500"/>
    <m/>
    <n v="0"/>
    <n v="16500"/>
    <n v="0"/>
    <m/>
    <m/>
    <m/>
    <m/>
    <m/>
    <m/>
    <m/>
    <m/>
    <m/>
    <m/>
    <m/>
    <m/>
    <m/>
    <m/>
    <m/>
    <m/>
    <m/>
    <m/>
    <m/>
    <m/>
    <m/>
    <n v="0"/>
    <n v="0"/>
    <n v="0"/>
    <n v="0"/>
    <n v="0"/>
    <m/>
    <m/>
    <m/>
    <m/>
    <m/>
    <m/>
    <m/>
    <m/>
    <d v="2016-03-01T00:00:00"/>
    <n v="6"/>
    <n v="0"/>
    <n v="0"/>
    <n v="0"/>
    <n v="0"/>
  </r>
  <r>
    <s v="SAINT-OUEN"/>
    <s v="VSO-COR-01"/>
    <s v="DEF-SO-ISD-01"/>
    <x v="16"/>
    <s v="DDUS"/>
    <s v="QP093046"/>
    <s v="ISD-QSU-01 / VSO-COR-01 / SO-COR-01"/>
    <s v="Etude urbaine (+montage opérationnel)"/>
    <s v="Etudes urbaines"/>
    <s v="Urbaine"/>
    <s v="Etudes stratégiques"/>
    <s v="Plaine Commune"/>
    <m/>
    <m/>
    <s v="X"/>
    <s v="Etudes préalables _x000d__x000a_Etude urbaine du quartier du Vieux Saint-Ouen et du Centre ville: La CAPC, en partenariat avec la Ville de Saint-Ouen et le bailleur Saint-Ouen Habitat Public, a confié en 2013 à l’Agence Catherine Tricot la réalisation d’une étude urbaine du quartier du Vieux Saint-Ouen dans son ensemble. L’objet de l’étude était de pouvoir définir la place du quartier dans la dynamique territoriale. L’équipe a également déterminé un périmètre plus restreint où les dysfonctionnements urbains se concentraient dans la perspective de l’ANRU. Cette étude est la base de départ des études urbaines pour le quartier NPNRU du VSO._x000d__x000a_Etude préalable de requalification des espaces publics pour accompagner l’arrivée de la L14 : la CAPC a lancé en 2013 une étude sur le centre ville de Saint-Ouen qui a pour objet de pouvoir accompagner l’arrivée de la ligne 14 et de retrouver des liens interquartiers entre le Centre Ville, Cordon, Vieux Saint-Ouen, les Docks._x000d__x000a_L’Ecoquartier des Docks, soutenu par l'État au titre du développement d'écoquartiers en Île-de-France et labellisé « Nouveaux Quartiers Urbains » par la Région Ile-de-France, s’implante sur un périmètre de 100 ha et est limitrophe au quartier du Vieux Saint-Ouen.  _x000d__x000a_ _x000d__x000a_Objectifs _x000d__x000a_L’inscription du quartier dans le NPNRU a ouvert de nouvelles perspectives pour les quartiers du Vieux Saint-Ouen et Cordon La Motte Taupin. Pour le Vieux Saint-Ouen, il s’agit d’engager un travail plus fin, spécifiquement sur les îlots concernés par le NPNRU, pour aboutir à des scenarios de renouvellement urbain à une échelle plus restreinte que l’étude de Catherine Tricot._x000d__x000a_Pour Cordon La Motte Taupin, il s’agit  également d’aboutir à un projet de renouvellement urbain à une échelle plus intégrée au centre ville de Saint-Ouen._x000d__x000a_ _x000d__x000a_Prestations attendues _x000d__x000a_Le marché a été lancé dans le cadre d’une procédure adaptée restreinte. A l’issue de la consultation, les deux équipes d’architecte – urbaniste retenues proposeront une première vision urbaine traduite sous la forme d’une esquisse urbaine, paysagère et fonctionnelle. L’attributaire du marché sera en charge de la consolidation du projet urbain, de la programmation urbaine, de la définition des espaces publics et de la faisabilité du montage opérationnel des lots, du phasage et du chiffrage du scénario retenu et des aménagements (espace public). Cette étude intégrera le montage financier et opérationnel du projet urbain (marché séparé)._x000d__x000a_ _x000d__x000a_Calendrier prévisionnel _x000d__x000a_L’attribution du marché est prévue en janvier 2016. L’étude se décompose en 3 temps dont une phase permettant au prestataire de s’approprier des résultats des études du protocole."/>
    <n v="267000"/>
    <n v="284400"/>
    <n v="267000"/>
    <n v="120500"/>
    <m/>
    <n v="0"/>
    <n v="114000"/>
    <n v="19500"/>
    <m/>
    <m/>
    <n v="1015"/>
    <n v="15448"/>
    <m/>
    <m/>
    <m/>
    <n v="3036"/>
    <m/>
    <m/>
    <m/>
    <m/>
    <m/>
    <m/>
    <m/>
    <m/>
    <m/>
    <m/>
    <m/>
    <m/>
    <m/>
    <n v="13000"/>
    <n v="0"/>
    <n v="0"/>
    <n v="0"/>
    <n v="0"/>
    <m/>
    <m/>
    <m/>
    <m/>
    <m/>
    <m/>
    <m/>
    <m/>
    <d v="2016-03-16T00:00:00"/>
    <n v="10"/>
    <n v="0"/>
    <n v="0"/>
    <n v="0"/>
    <n v="1"/>
  </r>
  <r>
    <s v="SAINT-OUEN/ILE SAINT DENIS"/>
    <s v="SO-ISD-01"/>
    <s v="DEF-SO-ISD-02"/>
    <x v="16"/>
    <m/>
    <m/>
    <s v="SO-ISD-01 / SO-ISD-03"/>
    <s v="Diagnostic amiante / pollution / géotechniques / réseaux assainissement / relevés topographiques sur le foncier des bailleurs sociaux"/>
    <m/>
    <s v="Habitat"/>
    <s v="Espaces extérieurs"/>
    <s v="SOHP"/>
    <m/>
    <m/>
    <s v="X"/>
    <s v="Sur le foncier des bailleurs sociaux : conformément à la réglementation en vigueur et notamment en vu de l'applicatione du décret N°2012-639 du 4 mai 2012 relatif aux risques d'exposition à l'amiante ,il s'avère nécessaire de rechercher des matériaux susceptibles d'en contenir dans les matériaux  de voirie à base de produits bitumineux._x000d__x000a_ _x000d__x000a_Prestations attendues :Reconnaissance par sondages destructifs des revêtements enrobés compris dans les périmètres des futurs espaces publics des projets urbains NPNRU;sondages conduits conformément à l'arrêté du 26 juin 2013, analyse des échantillons par laboratoire agréé,remise du rapportde mission de repérage._x000d__x000a_ _x000d__x000a_Le passé industriel du territoire de Plaine Commune a laissé de nombreuses traces de contamination des sols, aussi dans le cadre des projets urbains il apparaît nécessaire de diagnostiquer l'état de pollution des sols des futurs espaces publics définis dans les projets urbains.Objectifs: identification la lithologie des sols en place et identification d'une éventuelle contamination,réalisation conformément aux normes NF ISO10381-5 et NFX31-620_x000d__x000a_ _x000d__x000a_Prestations attendues : Reconnaissance par sondages,analyse en laboratoire des échantillons,élaboration du schéma conceptuel au regard des données acquises,élaboration du plan de gestion,rapport de synthèse._x000d__x000a_La conduite de diagnostics géotechniques est une étape nécesssaire pour contribuer à la maîtrise des risques géotechniques dans les projets NPNRU._x000d__x000a_ _x000d__x000a_Prestations attendues : mission G1:Fourniture après investigation d'un rapport précisant pour le site étudié un modèle géologique préliminaire, les principales caractéristiques géotechniques , première identification des risques géotechniques majeurs et définition de certains principes généraux de construction envisageables. La maîtise d'ouvrage fournira une inspection télévisée des ouvrages d'assainissement,précisant le diagnostic du réseau. Le géomètre aura également pour mission  de reporter sur le lever topographique  le rescensement des divers réseaux après enquête auprès des concessionnaires afin d'établir le plan de coordination des réseaux divers."/>
    <n v="200000"/>
    <n v="240000"/>
    <n v="200000"/>
    <n v="100000"/>
    <m/>
    <n v="0"/>
    <n v="0"/>
    <n v="100000"/>
    <m/>
    <m/>
    <m/>
    <n v="100000"/>
    <m/>
    <m/>
    <m/>
    <m/>
    <m/>
    <m/>
    <m/>
    <m/>
    <m/>
    <m/>
    <m/>
    <m/>
    <m/>
    <m/>
    <m/>
    <m/>
    <m/>
    <n v="0"/>
    <n v="0"/>
    <n v="0"/>
    <n v="0"/>
    <n v="0"/>
    <m/>
    <m/>
    <m/>
    <m/>
    <m/>
    <m/>
    <m/>
    <m/>
    <d v="2016-03-07T00:00:00"/>
    <n v="4"/>
    <n v="2083"/>
    <n v="0"/>
    <n v="0"/>
    <n v="0"/>
  </r>
  <r>
    <s v="SAINT-OUEN/ILE SAINT DENIS"/>
    <s v="SO-ISD-03"/>
    <s v="DEF-SO-ISD-02"/>
    <x v="16"/>
    <m/>
    <m/>
    <s v="SO-ISD-01 / SO-ISD-03"/>
    <s v="Etude technique sur le patrimoine bâti"/>
    <m/>
    <s v="Habitat"/>
    <s v="Logement"/>
    <s v="SOHP"/>
    <m/>
    <m/>
    <s v="X"/>
    <s v="Un diagnostic technique du bâti permettra de disposer d'une connaissance précise de l'état du bâti afin de préciser le projet et ses modalités de mise en œuvre (démolition, réhabilitation, restructuration, requalification, etc.…). _x000d__x000a_ _x000d__x000a_Cette étude devra notamment prendre en compte le rapport bâti-espaces extérieurs et intégrer la perspective de mise en œuvre de solutions techniques couvrant aussi largement que possible les paramètres de baisse des charges, économie des ressources et préservation de l'environnement._x000d__x000a_ _x000d__x000a_Particulièrement, ce diagnostic devra aborder les aspects relatifs à l’enveloppe des immeubles, aux parties communes, aux logements ainsi qu’aux objectifs d’amélioration des performances thermiques. _x000d__x000a_L’étude devra également comprendre un volet sur la typologie et le confort des logements ainsi que leurs potentiels d’adaptation aux besoins et évolutions des ménages._x000d__x000a_ _x000d__x000a_Pour le quartier Sud, l’étude relative à la réhabilitation de la Cité Marcel Paul réalisée en 2014 par ARCHETUDE – ALTEREA, doit être approfondie afin de s'inscrire dans un objectif ambitieux d'amélioration de performances thermiques des trois tours de la Cité Marcel Paul dans le cadre du diagnostic. L'étude devra également intégrer dans son champ le rapport bâti-espaces extérieurs et prendre en compte les problématiques et besoins des locataires en place signalés dans le diagnostic social tant dans l'usage de leur logement que des espaces extérieurs."/>
    <n v="130000"/>
    <n v="156000"/>
    <n v="130000"/>
    <n v="65000"/>
    <m/>
    <n v="0"/>
    <n v="0"/>
    <n v="65000"/>
    <m/>
    <m/>
    <m/>
    <n v="65000"/>
    <m/>
    <m/>
    <m/>
    <m/>
    <m/>
    <m/>
    <m/>
    <m/>
    <m/>
    <m/>
    <m/>
    <m/>
    <m/>
    <m/>
    <m/>
    <m/>
    <m/>
    <n v="0"/>
    <n v="0"/>
    <n v="0"/>
    <n v="0"/>
    <n v="0"/>
    <m/>
    <m/>
    <m/>
    <m/>
    <m/>
    <m/>
    <m/>
    <m/>
    <d v="2016-03-16T00:00:00"/>
    <n v="4"/>
    <n v="2083"/>
    <n v="0"/>
    <n v="0"/>
    <n v="0"/>
  </r>
  <r>
    <s v="SAINT-OUEN/ILE SAINT DENIS"/>
    <s v="SO-ISD-02"/>
    <s v="DEF-SO-ISD-03"/>
    <x v="16"/>
    <m/>
    <m/>
    <m/>
    <s v="Diagnostic social"/>
    <m/>
    <s v="Habitat"/>
    <s v="Logement"/>
    <s v="SOHP"/>
    <m/>
    <m/>
    <s v="X"/>
    <s v="Une enquête sociale permettra de prendre en compte, entre autres, la capacité financière  des habitants (ressources, reste à vivre) dans la définition des projets de réhabilitation ou de relogements dans une optique de diversité de l'habitat . Pour le Quartier Sud : Historique : réalisation d'une enquête sociale sur la Cité Marcel Paul par LE FRENE en 2014                                                        _x000d__x000a_Objet de l'étude : actualisation de l'enquête sociale sur la Cité Marcel Paul et réalisation d'une enquête sociale sur la Cité Marcel Cachin. Pour Cordon et le Vieux Saint-Ouen : Historique: Aucun diagnostic social à ce jour.  _x000d__x000a_Objet de l'étude : Une enquête sociale comprenant un volet démographique, sociologique et économique permettant de clarifier les principaux enjeux sociaux dans la perspective d'un projet de renouvellement urbain."/>
    <n v="220000"/>
    <n v="264000"/>
    <n v="220000"/>
    <n v="110000"/>
    <m/>
    <n v="0"/>
    <n v="0"/>
    <n v="110000"/>
    <m/>
    <m/>
    <m/>
    <n v="110000"/>
    <m/>
    <m/>
    <m/>
    <m/>
    <m/>
    <m/>
    <m/>
    <m/>
    <m/>
    <m/>
    <m/>
    <m/>
    <m/>
    <m/>
    <m/>
    <m/>
    <m/>
    <n v="0"/>
    <n v="0"/>
    <n v="0"/>
    <n v="0"/>
    <n v="0"/>
    <m/>
    <m/>
    <m/>
    <m/>
    <m/>
    <m/>
    <m/>
    <m/>
    <d v="2016-03-16T00:00:00"/>
    <n v="4"/>
    <n v="2083"/>
    <n v="0"/>
    <n v="0"/>
    <n v="0"/>
  </r>
  <r>
    <s v="SAINT-OUEN/ILE SAINT DENIS"/>
    <s v="SO-ISD-04"/>
    <s v="DEF-SO-ISD-04"/>
    <x v="16"/>
    <s v="Finance"/>
    <m/>
    <m/>
    <s v="Etude de potentiel économique"/>
    <s v="Dev éco"/>
    <s v="Économique"/>
    <s v="Etudes stratégiques"/>
    <s v="Plaine Commune"/>
    <m/>
    <m/>
    <s v="X"/>
    <s v="Objet de l'étude : Une étude spécifique sur le potentiel économique des quartiers sera nécessaire pour adapter au mieux la programmation des locaux et définir les moyens et actions d’accompagnement au développement de l’emploi et des entreprises._x000d__x000a_Pour le quartier Sud, une étude plus spécifique sur la programmation des pieds d'immeubles sur le boulevard Marcel Paul et dans la Cité Marcel Cachin : La  mission devra  définir la programmation des pieds d'immeuble, notamment le long du boulevard Marcel Paul, qui ne seront pas destinés à accueillir de l'activité commerciale._x000d__x000a_Celle-ci devra envisager différentes programmations au regard des besoins du quartier (économique, ESS...). _x000d__x000a_L'implantation d'une micro-crèche (environ 135m²) sur le Quartier Sud de L'Île-Saint-Denis pourra notamment être étudiée dans ce cadre."/>
    <n v="60000"/>
    <n v="72000"/>
    <n v="60000"/>
    <n v="0"/>
    <m/>
    <n v="0"/>
    <n v="30000"/>
    <n v="0"/>
    <m/>
    <m/>
    <m/>
    <m/>
    <m/>
    <m/>
    <m/>
    <m/>
    <m/>
    <m/>
    <m/>
    <m/>
    <m/>
    <m/>
    <m/>
    <m/>
    <m/>
    <m/>
    <m/>
    <m/>
    <m/>
    <n v="30000"/>
    <n v="0"/>
    <n v="0"/>
    <n v="0"/>
    <n v="0"/>
    <m/>
    <m/>
    <m/>
    <m/>
    <m/>
    <m/>
    <m/>
    <m/>
    <d v="2016-03-16T00:00:00"/>
    <n v="3"/>
    <n v="0"/>
    <n v="0"/>
    <n v="0"/>
    <n v="0"/>
  </r>
  <r>
    <s v="SAINT-OUEN"/>
    <s v="VSO-COR-04"/>
    <s v="DEF-SO-ISD-05"/>
    <x v="16"/>
    <m/>
    <s v="QP093046"/>
    <s v="SO-ISD-05 / VSO-COR-04 /VSO-COR-07"/>
    <s v="Diagnostic sommaire des équipements dans le quartier"/>
    <m/>
    <s v="Urbaine"/>
    <s v="Equipements"/>
    <s v="Ville de Saint Ouen"/>
    <m/>
    <m/>
    <s v="X"/>
    <s v="Objectifs _x000d__x000a_De nombreux équipements sont présents dans les quartiers NPNRU, certains ont déjà fait l’objet de diagnostics réglementaires qu’il faut recenser. _x000d__x000a_De plus, après les premières orientations de l'étude globale, les diagnostics sommaires sur l’état des équipements devront permettre d’alimenter la réflexion des études de programmation et de restructuration des équipements inscrits dans le protocole. _x000d__x000a_ _x000d__x000a_Prestations attendues :  _x000d__x000a_Il s’agira pour les principaux équipements de la ville présents dans les quartiers (Groupe Scolaire Langevin, Groupe Scolaire Anatole France, maison de quartier, RDC de la Patinoire…) d’élaborer les études préalables pour la définition des interventions et des estimations financières : relevé géomètre, étude de sol, diagnostic pollution, diagnostic structure…_x000d__x000a_ _x000d__x000a_Calendrier : études à lancer courant 2016. Elles devront être lancées après les premières orientations de l’étude globale"/>
    <n v="40000"/>
    <n v="48000"/>
    <n v="40000"/>
    <n v="20000"/>
    <m/>
    <n v="20000"/>
    <n v="0"/>
    <n v="0"/>
    <m/>
    <m/>
    <m/>
    <m/>
    <m/>
    <m/>
    <m/>
    <m/>
    <m/>
    <m/>
    <m/>
    <m/>
    <m/>
    <m/>
    <m/>
    <m/>
    <m/>
    <m/>
    <m/>
    <m/>
    <m/>
    <n v="0"/>
    <n v="0"/>
    <n v="0"/>
    <n v="0"/>
    <n v="0"/>
    <m/>
    <m/>
    <m/>
    <m/>
    <m/>
    <m/>
    <m/>
    <m/>
    <d v="2016-03-07T00:00:00"/>
    <n v="6"/>
    <n v="0"/>
    <n v="0"/>
    <n v="0"/>
    <n v="0"/>
  </r>
  <r>
    <s v="SAINT-OUEN"/>
    <s v="VSO-COR-07"/>
    <s v="DEF-SO-ISD-05"/>
    <x v="16"/>
    <m/>
    <s v="QP093046"/>
    <s v="SO-ISD-05 / VSO-COR-04 /VSO-COR-07"/>
    <s v="Etude de programmation et de restructuration des équipements publics de Saint-Ouen (VSO et CORDON)"/>
    <m/>
    <s v="Urbaine"/>
    <s v="Equipements"/>
    <s v="Ville de Saint Ouen"/>
    <m/>
    <m/>
    <s v="X"/>
    <s v="De nombreux équipements sont présents dans les quartiers NPNRU, certains ont déjà fait l’objet de diagnostics réglementaires qu’il faut recenser.  _x000d__x000a_Actuellement la Ville de Saint-Ouen mène une étude sur l’analyse des besoins en équipements scolaires de 0 à 18 ans. Ces études orienteront donc les besoins en restructuration en équipements dans les quartiers. _x000d__x000a_L’étude doit indiquer les dispositions à mettre en œuvre pour réhabiliter, restructurer ou reconstruire les équipements publics du quartier, selon les besoins, le positionnement dans le quartier (en lien avec les études urbaines) et l’état du bâti (diagnostics sommaires du bâti distingués des études de programmation). _x000d__x000a_Prestations attendues _x000d__x000a_Entreprendre une réflexion globale sur la programmation et le besoin en équipement dans le quartier avec la prise en compte des services administratifs présents dans le quartier : état des lieux des usages, des besoins et propositions sur la nature des travaux à réaliser en lien avec les diagnostics du bâti_x000d__x000a_Elaborer les programmes des équipements : Groupe Scolaire Langevin, Groupe Scolaire Anatole France, RDC de la Patinoire…_x000d__x000a_ _x000d__x000a_Calendrier : l'étude globale devra être lancée en premier début 2016. Les études de programmation seront à mener dans un second temps (après les études techniques)."/>
    <n v="185000"/>
    <n v="222000"/>
    <n v="185000"/>
    <n v="92500"/>
    <s v="Marchés séparés"/>
    <n v="92500"/>
    <n v="0"/>
    <n v="0"/>
    <m/>
    <m/>
    <m/>
    <m/>
    <m/>
    <m/>
    <m/>
    <m/>
    <m/>
    <m/>
    <m/>
    <m/>
    <m/>
    <m/>
    <m/>
    <m/>
    <m/>
    <m/>
    <m/>
    <m/>
    <m/>
    <n v="0"/>
    <n v="0"/>
    <n v="0"/>
    <n v="0"/>
    <n v="0"/>
    <m/>
    <m/>
    <m/>
    <m/>
    <m/>
    <m/>
    <m/>
    <m/>
    <d v="2016-03-16T00:00:00"/>
    <n v="6"/>
    <n v="0"/>
    <n v="0"/>
    <n v="0"/>
    <n v="0"/>
  </r>
  <r>
    <s v="SAINT-OUEN/ILE SAINT DENIS"/>
    <s v="SO-ISD-05"/>
    <s v="DEF-SO-ISD-05"/>
    <x v="16"/>
    <m/>
    <m/>
    <s v="SO-ISD-05 / VSO-COR-04 /VSO-COR-07"/>
    <s v="Etude de programmation et de restructuration spécifique à l'ile des vannes"/>
    <m/>
    <s v="Urbaine"/>
    <s v="Equipements"/>
    <s v="Ville de Saint Ouen"/>
    <m/>
    <m/>
    <s v="X"/>
    <s v="L’équipement de L’Ile des Vannes, propriété privée de la Ville de Saint-Ouen sur le territoire communal de L’Ile-Saint-Denis, est un équipement à vocation intercommunale qui est une opportunité pour le développement du NPNRU Saint-Ouen – L’Ile Saint-Denis. Aujourd’hui occupé par des équipements sportifs de la Ville de Saint-Ouen, il est important d’élargir la réflexion sur sa programmation et son ouverture aux quartiers. _x000d__x000a_Objectif et attendus _x000d__x000a_Il s’agit donc d’engager un diagnostic de l’état des équipements présents afin de déterminer les pistes de programmation possibles et d’interroger la mise en commun de l’utilisation des équipements présents et évaluer les conditions de leur remise à niveau.  _x000d__x000a_Dans le cadre de l’Entente « Arc en Seine », créée en avril 2013 afin de fédérer les collectivités de la façade fluviale autour d’un projet d’envergure métropolitaine, la Communauté d’Agglomération Plaine Commune engagera, d’ici la fin de l’année 2015, une étude sur sa façade fluviale, dont un lot spécifique est prévu sur le secteur de l’île des Vannes et du parc des Docks de Saint-Ouen dont l’attendu principale est de se doter d’une vision prospective de l’Ile des Vannes en engageant une reflexion sur un ensemble paysager cohérent appréhendant les notions de grand paysage, les continuités de cheminements (franchissement piéton vers le Parc des Docks) notamment. _x000d__x000a_L’étude inscrite au protocole devra également accompagner, approfondir et vérifier techniquement les incidences des différents scénarios de l’étude lancée à l’automne 2015 par CAPC._x000d__x000a_Cette étude devra être mise en perspective avec les études du NPNRU et particulièrement avec les orientations définies dans le schéma directeur.  _x000d__x000a_La Ville de Saint-Ouen a par ailleurs engagé un diagnostic technique pour le clos et couvert de la nef de l’Ile des Vannes. _x000d__x000a_ _x000d__x000a_Calendrier : démarrage en 2016"/>
    <n v="48000"/>
    <n v="57600"/>
    <n v="48000"/>
    <n v="24000"/>
    <s v="8330€ pris en charge par l'ISD"/>
    <n v="24000"/>
    <n v="0"/>
    <n v="0"/>
    <m/>
    <m/>
    <m/>
    <m/>
    <m/>
    <m/>
    <m/>
    <m/>
    <m/>
    <m/>
    <m/>
    <m/>
    <m/>
    <m/>
    <m/>
    <m/>
    <m/>
    <m/>
    <m/>
    <m/>
    <m/>
    <n v="0"/>
    <n v="0"/>
    <n v="0"/>
    <n v="0"/>
    <n v="0"/>
    <m/>
    <m/>
    <m/>
    <m/>
    <m/>
    <m/>
    <m/>
    <m/>
    <d v="2016-03-16T00:00:00"/>
    <n v="5"/>
    <n v="0"/>
    <n v="0"/>
    <n v="0"/>
    <n v="0"/>
  </r>
  <r>
    <s v="SAINT-OUEN"/>
    <s v="SO-PRIR-01"/>
    <s v="DEF-SO-PRIR-01"/>
    <x v="17"/>
    <s v="DDUS"/>
    <m/>
    <m/>
    <s v="Etude sur 8 îlots d'habitat dégradé"/>
    <m/>
    <s v="Habitat"/>
    <m/>
    <s v="Plaine Commune"/>
    <m/>
    <m/>
    <m/>
    <m/>
    <n v="0"/>
    <n v="0"/>
    <n v="0"/>
    <n v="0"/>
    <s v="étude en cours, cofinancée par l'ANAH (58 373€)"/>
    <n v="0"/>
    <n v="0"/>
    <n v="0"/>
    <m/>
    <m/>
    <m/>
    <m/>
    <m/>
    <m/>
    <m/>
    <m/>
    <m/>
    <m/>
    <m/>
    <m/>
    <m/>
    <m/>
    <m/>
    <m/>
    <m/>
    <m/>
    <m/>
    <m/>
    <m/>
    <n v="0"/>
    <n v="0"/>
    <n v="0"/>
    <n v="0"/>
    <n v="0"/>
    <m/>
    <m/>
    <m/>
    <m/>
    <m/>
    <m/>
    <m/>
    <m/>
    <m/>
    <m/>
    <m/>
    <m/>
    <n v="0"/>
    <n v="0"/>
  </r>
  <r>
    <s v="SAINT-OUEN"/>
    <s v="SO-PRIR-02"/>
    <s v="DEF-SO-PRIR-02"/>
    <x v="17"/>
    <s v="DDUS"/>
    <m/>
    <m/>
    <s v="Etude pré-opérationnelle habitat privé"/>
    <m/>
    <s v="Habitat"/>
    <m/>
    <s v="Plaine Commune"/>
    <m/>
    <m/>
    <m/>
    <m/>
    <n v="0"/>
    <n v="0"/>
    <n v="0"/>
    <n v="0"/>
    <s v="étude en cours, cofinancée par l'ANAH et le CRIF_x000a_Valorisation financement PNRQAD (104 000€)"/>
    <n v="0"/>
    <n v="0"/>
    <n v="0"/>
    <m/>
    <m/>
    <m/>
    <m/>
    <m/>
    <m/>
    <m/>
    <m/>
    <m/>
    <m/>
    <m/>
    <m/>
    <m/>
    <m/>
    <m/>
    <m/>
    <m/>
    <m/>
    <m/>
    <m/>
    <m/>
    <n v="0"/>
    <n v="0"/>
    <n v="0"/>
    <n v="0"/>
    <n v="0"/>
    <m/>
    <m/>
    <m/>
    <m/>
    <m/>
    <m/>
    <m/>
    <m/>
    <m/>
    <m/>
    <m/>
    <m/>
    <n v="0"/>
    <n v="0"/>
  </r>
  <r>
    <s v="SAINT-OUEN"/>
    <s v="SO-PRIR-03"/>
    <s v="DEF-SO-PRIR-03"/>
    <x v="17"/>
    <s v="DDUS"/>
    <m/>
    <m/>
    <s v="Etude complémentaire sur 2 îlots"/>
    <m/>
    <s v="Habitat"/>
    <m/>
    <s v="Plaine Commune"/>
    <m/>
    <m/>
    <m/>
    <m/>
    <n v="17416"/>
    <n v="20899.2"/>
    <n v="17416"/>
    <n v="0"/>
    <s v="avenant à prévoir à l'étude en cours, financement ANAH"/>
    <n v="0"/>
    <n v="8708"/>
    <n v="0"/>
    <m/>
    <m/>
    <m/>
    <m/>
    <m/>
    <m/>
    <m/>
    <m/>
    <m/>
    <m/>
    <m/>
    <m/>
    <m/>
    <m/>
    <m/>
    <m/>
    <m/>
    <m/>
    <m/>
    <m/>
    <m/>
    <n v="0"/>
    <n v="0"/>
    <n v="0"/>
    <n v="0"/>
    <n v="8708"/>
    <n v="8708"/>
    <m/>
    <m/>
    <m/>
    <m/>
    <m/>
    <m/>
    <m/>
    <m/>
    <m/>
    <m/>
    <m/>
    <n v="0"/>
    <n v="0"/>
  </r>
  <r>
    <s v="SAINT-OUEN"/>
    <s v="SO-PRIR-04"/>
    <s v="DEF-SO-PRIR-04"/>
    <x v="17"/>
    <s v="DDUS"/>
    <m/>
    <m/>
    <s v="Etude sur la place de l'Amitié entre les peuples"/>
    <m/>
    <s v="Urbaine"/>
    <m/>
    <s v="Plaine Commune"/>
    <m/>
    <m/>
    <m/>
    <m/>
    <n v="15000"/>
    <n v="18000"/>
    <n v="15000"/>
    <n v="7500"/>
    <s v=""/>
    <n v="0"/>
    <n v="7500"/>
    <n v="0"/>
    <m/>
    <m/>
    <m/>
    <m/>
    <m/>
    <m/>
    <m/>
    <m/>
    <m/>
    <m/>
    <m/>
    <m/>
    <m/>
    <m/>
    <m/>
    <m/>
    <m/>
    <m/>
    <m/>
    <m/>
    <m/>
    <n v="0"/>
    <n v="0"/>
    <n v="0"/>
    <n v="0"/>
    <n v="0"/>
    <m/>
    <m/>
    <m/>
    <m/>
    <m/>
    <m/>
    <m/>
    <m/>
    <m/>
    <m/>
    <m/>
    <m/>
    <n v="0"/>
    <n v="0"/>
  </r>
  <r>
    <s v="SAINT-OUEN"/>
    <s v="SO-PRIR-05"/>
    <s v="DEF-SO-PRIR-05"/>
    <x v="17"/>
    <m/>
    <m/>
    <m/>
    <s v="Etudes préalables à la réhabilitation-extension d'un équipement scolaire"/>
    <m/>
    <s v="Urbaine"/>
    <m/>
    <s v="Ville de Saint Ouen"/>
    <m/>
    <m/>
    <m/>
    <m/>
    <n v="80000"/>
    <n v="96000"/>
    <n v="80000"/>
    <n v="40000"/>
    <s v=""/>
    <n v="40000"/>
    <n v="0"/>
    <n v="0"/>
    <m/>
    <m/>
    <m/>
    <m/>
    <m/>
    <m/>
    <m/>
    <m/>
    <m/>
    <m/>
    <m/>
    <m/>
    <m/>
    <m/>
    <m/>
    <m/>
    <m/>
    <m/>
    <m/>
    <m/>
    <m/>
    <n v="0"/>
    <n v="0"/>
    <n v="0"/>
    <n v="0"/>
    <n v="0"/>
    <m/>
    <m/>
    <m/>
    <m/>
    <m/>
    <m/>
    <m/>
    <m/>
    <m/>
    <m/>
    <m/>
    <m/>
    <n v="0"/>
    <n v="0"/>
  </r>
  <r>
    <s v="SAINT-OUEN"/>
    <s v="VSO-COR-05"/>
    <s v="DEF-SO-VSO-COR-01"/>
    <x v="18"/>
    <m/>
    <s v="QP093046"/>
    <m/>
    <s v="Faisabilité réseau de chaleur"/>
    <m/>
    <s v="Technique"/>
    <s v="Logement"/>
    <s v="CPCU"/>
    <m/>
    <m/>
    <s v="X"/>
    <s v="Historique _x000d__x000a_Le quartier du Vieux Saint-Ouen est relié par la rue A. Dhalenne à l’écoquartier des Docks en cours de construction. Cette grande proximité est une opportunité pour le renouvellement du quartier et notamment pour viser les mêmes performances énergétiques et durables. _x000d__x000a_Le quartier des Docks développe un réseau de chaleur qui sera à terme alimenté par un mix énergétique comprenant 70% d’énergies renouvelables. _x000d__x000a_ _x000d__x000a_Objectifs _x000d__x000a_Il existe donc un réel intérêt à poursuivre cette réflexion afin que les quartiers NPNRU bénéficient également des avantages de ce réseau.  Par conséquent, il est pertinent de pouvoir vérifier la faisabilité d’un prolongement du réseau de chaleur afin de pouvoir desservir les quartiers _x000d__x000a_ _x000d__x000a_Prestations attendues _x000d__x000a_Diagnostic de l’existant _x000d__x000a_Scenarios et estimations du raccordement _x000d__x000a_Evaluation du reste à vivre des habitants _x000d__x000a_ _x000d__x000a_Calendrier prévisionnel : début 2016"/>
    <n v="25000"/>
    <n v="30000"/>
    <n v="25000"/>
    <n v="0"/>
    <s v="MOA a confirmer"/>
    <n v="0"/>
    <n v="12500"/>
    <n v="0"/>
    <m/>
    <m/>
    <m/>
    <m/>
    <m/>
    <m/>
    <m/>
    <m/>
    <m/>
    <m/>
    <m/>
    <m/>
    <m/>
    <m/>
    <m/>
    <m/>
    <m/>
    <m/>
    <m/>
    <m/>
    <m/>
    <n v="12500"/>
    <n v="0"/>
    <n v="0"/>
    <n v="0"/>
    <n v="0"/>
    <m/>
    <m/>
    <m/>
    <m/>
    <m/>
    <m/>
    <m/>
    <m/>
    <d v="2016-03-16T00:00:00"/>
    <n v="3"/>
    <n v="0"/>
    <n v="0"/>
    <n v="0"/>
    <n v="0"/>
  </r>
  <r>
    <s v="SAINT-OUEN"/>
    <s v="VSO-COR-06"/>
    <s v="DEF-SO-VSO-COR-02"/>
    <x v="18"/>
    <s v="Finance"/>
    <s v="QP093046"/>
    <m/>
    <s v="Faisabilité CPOM"/>
    <s v="Espaces publics et réseaux de collecte déchets ménagers"/>
    <s v="Technique"/>
    <s v="Logement"/>
    <s v="Plaine Commune"/>
    <m/>
    <m/>
    <s v="X"/>
    <s v="Historique _x000d__x000a_Le quartier du Vieux Saint-Ouen est relié par la rue A. Dhalenne à l’écoquartier des Docks en cours de construction. Cette grande proximité est une opportunité pour le renouvellement du quartier et notamment pour_x000d__x000a_viser les mêmes performances énergétiques et durables. _x000d__x000a_Le quartier des Docks développe notamment un réseau de collecte pneumatique des ordures ménagères._x000d__x000a_ _x000d__x000a_Objectifs _x000d__x000a_Il existe donc un réel intérêt à poursuivre cette réflexion afin les quartiers NPNRU bénéficient également des avantages de ce réseau. Par conséquent, il est pertinent de pouvoir vérifier la faisabilité d’un prolongement du réseau de la  collecte pneumatique des OM afin de pouvoir desservir les quartiers. _x000d__x000a_ _x000d__x000a_Prestations attendues _x000d__x000a_Diagnostic de l’existant _x000d__x000a_Scenarios et estimations du raccordement _x000d__x000a_Evaluation du gain pour les habitants, approche globale _x000d__x000a_ _x000d__x000a_Calendrier prévisionnel : début 2016"/>
    <n v="25000"/>
    <n v="30000"/>
    <n v="25000"/>
    <n v="12500"/>
    <s v="MOA a confirmer"/>
    <n v="0"/>
    <n v="12500"/>
    <n v="0"/>
    <m/>
    <m/>
    <m/>
    <m/>
    <m/>
    <m/>
    <m/>
    <m/>
    <m/>
    <m/>
    <m/>
    <m/>
    <m/>
    <m/>
    <m/>
    <m/>
    <m/>
    <m/>
    <m/>
    <m/>
    <m/>
    <n v="0"/>
    <n v="0"/>
    <n v="0"/>
    <n v="0"/>
    <n v="0"/>
    <m/>
    <m/>
    <m/>
    <m/>
    <m/>
    <m/>
    <m/>
    <m/>
    <d v="2016-03-16T00:00:00"/>
    <n v="3"/>
    <n v="0"/>
    <n v="0"/>
    <n v="0"/>
    <n v="0"/>
  </r>
  <r>
    <s v="STAINS"/>
    <s v="ST-CSL-01"/>
    <s v="DEF-ST-CSL-01"/>
    <x v="19"/>
    <m/>
    <s v="QP093048"/>
    <m/>
    <s v="étude programmatique sur l'ancien collège Thorez"/>
    <m/>
    <s v="Urbaine"/>
    <s v="Equipements"/>
    <s v="Ville de Stains"/>
    <m/>
    <m/>
    <s v="X"/>
    <s v="étude visant à définir une programmation pour les locaux de l'ancien collège, avec une orientation ESS et services publics; ainsi que le ou les montages juridiques et financiers"/>
    <n v="49500"/>
    <n v="59400"/>
    <n v="49500"/>
    <n v="0"/>
    <m/>
    <n v="12375"/>
    <n v="0"/>
    <n v="0"/>
    <m/>
    <m/>
    <m/>
    <m/>
    <m/>
    <m/>
    <m/>
    <m/>
    <m/>
    <m/>
    <m/>
    <m/>
    <m/>
    <m/>
    <m/>
    <m/>
    <m/>
    <m/>
    <m/>
    <m/>
    <m/>
    <n v="12375"/>
    <n v="24750"/>
    <n v="0"/>
    <n v="0"/>
    <n v="0"/>
    <m/>
    <m/>
    <m/>
    <m/>
    <m/>
    <m/>
    <m/>
    <m/>
    <d v="2016-03-01T00:00:00"/>
    <n v="18"/>
    <m/>
    <n v="0"/>
    <n v="0"/>
    <n v="0"/>
  </r>
  <r>
    <s v="STAINS"/>
    <s v="ST-CSL-02"/>
    <s v="DEF-ST-CSL-02"/>
    <x v="19"/>
    <s v="Finances"/>
    <s v="QP093048"/>
    <s v="ST-CSL-02 / ST-CSL-10"/>
    <s v="articulation sur le secteur Collège étude programmatique / étude urbaine CSL et/ou préfiguration"/>
    <s v="accompagnement filière et pôle ESS "/>
    <s v="Urbaine"/>
    <s v="Equipements"/>
    <s v="Plaine Commune"/>
    <m/>
    <m/>
    <s v="X"/>
    <s v="Mission destinée à garantir une articulation entre l'étude programmatique collège et l'étude urbaine sur le quartier. Comment dessiner les abords de la zone Collège et/ou comment envisager une préfiguration des usages pour éviter des difficultés de gestion de l'attente liées à un bâtiment vide en coeur de quartier"/>
    <n v="25000"/>
    <n v="30000"/>
    <n v="25000"/>
    <n v="10000"/>
    <m/>
    <n v="0"/>
    <n v="12500"/>
    <n v="0"/>
    <m/>
    <m/>
    <m/>
    <m/>
    <m/>
    <m/>
    <m/>
    <m/>
    <m/>
    <m/>
    <m/>
    <m/>
    <m/>
    <m/>
    <m/>
    <m/>
    <m/>
    <m/>
    <m/>
    <m/>
    <m/>
    <n v="2500"/>
    <n v="0"/>
    <n v="0"/>
    <n v="0"/>
    <n v="0"/>
    <m/>
    <m/>
    <m/>
    <m/>
    <m/>
    <m/>
    <m/>
    <m/>
    <d v="2016-05-01T00:00:00"/>
    <n v="6"/>
    <n v="0"/>
    <n v="0"/>
    <n v="0"/>
    <n v="0"/>
  </r>
  <r>
    <s v="STAINS"/>
    <s v="ST-CSL-10"/>
    <s v="DEF-ST-CSL-02"/>
    <x v="19"/>
    <s v="Finances"/>
    <s v="QP093048"/>
    <s v="ST-CSL-02 / ST-CSL-10"/>
    <s v="accompagnement filière et pôle ESS : autour du réemploi pour le Clos"/>
    <s v="accompagnement filière et pôle ESS "/>
    <s v="Économique"/>
    <s v="Etudes stratégiques"/>
    <s v="Plaine Commune"/>
    <m/>
    <m/>
    <s v="X"/>
    <s v="mission de conseil et de formation à la structuration d'une filière ré-emploi pour accompagner les acteurs locaux dans la mise en place d'une ressourcerie, soutenue par l'Europe"/>
    <n v="60000"/>
    <n v="72000"/>
    <n v="60000"/>
    <n v="19800"/>
    <m/>
    <n v="0"/>
    <n v="10200"/>
    <n v="0"/>
    <m/>
    <m/>
    <m/>
    <m/>
    <m/>
    <m/>
    <m/>
    <m/>
    <m/>
    <m/>
    <m/>
    <m/>
    <m/>
    <m/>
    <m/>
    <m/>
    <m/>
    <m/>
    <m/>
    <m/>
    <m/>
    <n v="10200"/>
    <n v="0"/>
    <n v="0"/>
    <n v="19800"/>
    <n v="0"/>
    <m/>
    <m/>
    <m/>
    <m/>
    <m/>
    <m/>
    <m/>
    <m/>
    <d v="2016-03-16T00:00:00"/>
    <n v="24"/>
    <n v="0"/>
    <n v="0"/>
    <n v="0"/>
    <n v="0"/>
  </r>
  <r>
    <s v="STAINS"/>
    <s v="ST-CSL-03"/>
    <s v="DEF-ST-CSL-03"/>
    <x v="19"/>
    <m/>
    <s v="QP093048"/>
    <m/>
    <s v="Etudes techniques collège (sondages amiantes, pollution, diagnostic énergétique, relevés,…)"/>
    <m/>
    <s v="Technique"/>
    <s v="Equipements"/>
    <s v="Ville de Stains"/>
    <m/>
    <m/>
    <s v="X"/>
    <s v="études techniques préalables à une reconversion du site de l'ancien collège Maurice Thorez"/>
    <n v="20000"/>
    <n v="24000"/>
    <n v="20000"/>
    <n v="10000"/>
    <m/>
    <n v="10000"/>
    <n v="0"/>
    <n v="0"/>
    <m/>
    <m/>
    <m/>
    <m/>
    <m/>
    <m/>
    <m/>
    <m/>
    <m/>
    <m/>
    <m/>
    <m/>
    <m/>
    <m/>
    <m/>
    <m/>
    <m/>
    <m/>
    <m/>
    <m/>
    <m/>
    <n v="0"/>
    <n v="0"/>
    <n v="0"/>
    <n v="0"/>
    <n v="0"/>
    <m/>
    <m/>
    <m/>
    <m/>
    <m/>
    <m/>
    <m/>
    <m/>
    <d v="2016-03-16T00:00:00"/>
    <n v="6"/>
    <n v="0"/>
    <n v="0"/>
    <n v="0"/>
    <n v="0"/>
  </r>
  <r>
    <s v="STAINS"/>
    <s v="ST-CSL-13"/>
    <s v="DEF-ST-CSL-04"/>
    <x v="19"/>
    <s v="DDUS"/>
    <s v="QP093048"/>
    <s v="ST-CSL-13"/>
    <s v="partenariat de recherche avec l'Université Paris 8"/>
    <s v="Partenariat de recherche avec l'université Paris 8"/>
    <s v="Accompagnement"/>
    <s v="Etudes stratégiques"/>
    <s v="Plaine Commune"/>
    <m/>
    <m/>
    <s v="X"/>
    <s v="Dans le cadre de l'AMI &quot;villes durables et solidaires&quot;, les équipes d'enseignants chercheurs de Paris 8 accompagneraient la direction de projet et ses partenaires sur deux sujets : celui du reste à vivre,  de sa mesure et des impacts liés à la rénovation urbaine d'une part; et d'autre part, sur un diagnostic suivi de préconisation sur le phénomène de mécanique sauvage"/>
    <n v="25000"/>
    <n v="30000"/>
    <n v="25000"/>
    <n v="0"/>
    <s v="Autres = 30% Université Paris 8 et 70% AMI PIA"/>
    <n v="0"/>
    <n v="5000"/>
    <n v="0"/>
    <m/>
    <m/>
    <m/>
    <m/>
    <m/>
    <m/>
    <m/>
    <m/>
    <m/>
    <m/>
    <m/>
    <m/>
    <m/>
    <m/>
    <m/>
    <m/>
    <m/>
    <m/>
    <m/>
    <m/>
    <m/>
    <n v="0"/>
    <n v="0"/>
    <n v="0"/>
    <n v="0"/>
    <n v="20000"/>
    <m/>
    <m/>
    <m/>
    <m/>
    <m/>
    <m/>
    <m/>
    <n v="20000"/>
    <d v="2016-03-16T00:00:00"/>
    <n v="24"/>
    <n v="0"/>
    <n v="0"/>
    <n v="0"/>
    <n v="0"/>
  </r>
  <r>
    <s v="STAINS"/>
    <s v="ST-CSL-05"/>
    <s v="DEF-ST-CSL-05"/>
    <x v="19"/>
    <m/>
    <s v="QP093048"/>
    <m/>
    <s v="Etude préalables RD29"/>
    <m/>
    <s v="Technique"/>
    <s v="Espaces extérieurs"/>
    <s v="CD 93"/>
    <m/>
    <m/>
    <s v="X"/>
    <s v="la RD29 est un axe majeur desservant les Tartres, le Clos Saint Lazare, la cIté-jardin, jusqu'à la nouvelle gare de la Tangentielle et la Prêtresse. L'enjeu d'initier des études en vue de sa requalification est donc énorme."/>
    <n v="0"/>
    <n v="0"/>
    <n v="0"/>
    <n v="0"/>
    <s v="Cofinancement ANRU ?"/>
    <n v="0"/>
    <n v="0"/>
    <n v="0"/>
    <m/>
    <m/>
    <m/>
    <m/>
    <m/>
    <m/>
    <m/>
    <m/>
    <m/>
    <m/>
    <m/>
    <m/>
    <m/>
    <m/>
    <m/>
    <m/>
    <m/>
    <m/>
    <m/>
    <m/>
    <m/>
    <n v="0"/>
    <n v="0"/>
    <n v="0"/>
    <n v="0"/>
    <n v="0"/>
    <m/>
    <m/>
    <m/>
    <m/>
    <m/>
    <m/>
    <m/>
    <m/>
    <d v="2016-06-01T00:00:00"/>
    <n v="6"/>
    <n v="0"/>
    <n v="0"/>
    <n v="0"/>
    <n v="0"/>
  </r>
  <r>
    <s v="STAINS"/>
    <s v="ST-CSL-06"/>
    <s v="DEF-ST-CSL-06"/>
    <x v="19"/>
    <m/>
    <s v="QP093048"/>
    <m/>
    <s v="Etude patrimoniale bailleur"/>
    <m/>
    <s v="Technique"/>
    <s v="Logement"/>
    <s v="OPH 93"/>
    <m/>
    <m/>
    <s v="X"/>
    <s v="Cette étude patrimoniale, menée sur le bâti existant avec appui d'un BE et d'un économiste externe, permet d'établir la maquette et le chiffrage de nos opérations du NPNRU, en accord avec les conclusions de l'étude urbaine._x000d__x000a_La mission du BE et de l'économiste est appuyée par un ensemble d'études techniques nécessaires au chiffrage des opérations, dont : _x000d__x000a_--&gt; diagnostic ETICS (façades), diagnostic acoustique, audit énergétique et diagnostic amiante plomb menés sur les trois immeubles non réhabilités en ANRU 1 (sur un échantillon de logement);_x000d__x000a_--&gt; diagnostic VRD à mener sur les abords immédiats des immeubles à résidentialiser en ANRU 2, afin de détecter notamment la présence d'amiante dans les voiries ou trottoirs existants et d'avoir un diagnostic de l'état des réseaux privatifs."/>
    <n v="131683"/>
    <n v="158019.6"/>
    <n v="131683"/>
    <n v="65841.5"/>
    <m/>
    <n v="0"/>
    <n v="0"/>
    <n v="65841.5"/>
    <m/>
    <m/>
    <m/>
    <m/>
    <m/>
    <m/>
    <m/>
    <m/>
    <n v="65842"/>
    <m/>
    <m/>
    <m/>
    <m/>
    <m/>
    <m/>
    <m/>
    <m/>
    <m/>
    <m/>
    <m/>
    <m/>
    <n v="0"/>
    <n v="0"/>
    <n v="0"/>
    <n v="0"/>
    <n v="0"/>
    <m/>
    <m/>
    <m/>
    <m/>
    <m/>
    <m/>
    <m/>
    <m/>
    <d v="2016-03-16T00:00:00"/>
    <n v="12"/>
    <n v="566"/>
    <n v="0"/>
    <n v="0"/>
    <n v="-0.5"/>
  </r>
  <r>
    <s v="STAINS"/>
    <s v="ST-CSL-07"/>
    <s v="DEF-ST-CSL-07"/>
    <x v="19"/>
    <m/>
    <s v="QP093048"/>
    <m/>
    <s v="Enquêtes sociales en vue des démolitions"/>
    <m/>
    <s v="Habitat"/>
    <s v="Logement"/>
    <s v="OPH 93"/>
    <m/>
    <m/>
    <s v="X"/>
    <s v="L'enquête sociale doit permettre de prendre en compte l'état du peuplement de nos immeubles non traités dans le cadre du 1er PRU et la capacité financière des ménages(ressources, reste à vivre, demandes de mutation/relogement), afin d'appuyer la stratégie patrimoniale de nos investissements dans le cadre du NPNRU."/>
    <n v="5400"/>
    <n v="6480"/>
    <n v="5400"/>
    <n v="2700"/>
    <m/>
    <n v="0"/>
    <n v="0"/>
    <n v="2700"/>
    <m/>
    <m/>
    <m/>
    <m/>
    <m/>
    <m/>
    <m/>
    <m/>
    <n v="2700"/>
    <m/>
    <m/>
    <m/>
    <m/>
    <m/>
    <m/>
    <m/>
    <m/>
    <m/>
    <m/>
    <m/>
    <m/>
    <n v="0"/>
    <n v="0"/>
    <n v="0"/>
    <n v="0"/>
    <n v="0"/>
    <m/>
    <m/>
    <m/>
    <m/>
    <m/>
    <m/>
    <m/>
    <m/>
    <d v="2016-04-01T00:00:00"/>
    <n v="12"/>
    <n v="108"/>
    <n v="0"/>
    <n v="0"/>
    <n v="0"/>
  </r>
  <r>
    <s v="STAINS"/>
    <s v="ST-CSL-08"/>
    <s v="DEF-ST-CSL-08"/>
    <x v="19"/>
    <m/>
    <s v="QP093048"/>
    <m/>
    <s v="Etude construction neuve"/>
    <m/>
    <s v="Urbaine"/>
    <s v="Logement"/>
    <s v="OPH 93"/>
    <m/>
    <m/>
    <s v="X"/>
    <s v="Il s'agit ici de mener des études de faisabilité, études de sols (dont pollution) et géotechniques sur les îlots de reconstruction définis par l'étude urbaine._x000d__x000a_Ces études techniques permettront d'établir un chiffrage réaliste des opérations de construction neuve de logements sociaux, qui prendra en compte l'état du foncier."/>
    <n v="50000"/>
    <n v="60000"/>
    <n v="50000"/>
    <n v="25000"/>
    <m/>
    <n v="0"/>
    <n v="0"/>
    <n v="25000"/>
    <m/>
    <m/>
    <m/>
    <m/>
    <m/>
    <m/>
    <m/>
    <m/>
    <n v="25000"/>
    <m/>
    <m/>
    <m/>
    <m/>
    <m/>
    <m/>
    <m/>
    <m/>
    <m/>
    <m/>
    <m/>
    <m/>
    <n v="0"/>
    <n v="0"/>
    <n v="0"/>
    <n v="0"/>
    <n v="0"/>
    <m/>
    <m/>
    <m/>
    <m/>
    <m/>
    <m/>
    <m/>
    <m/>
    <d v="2016-09-01T00:00:00"/>
    <n v="6"/>
    <n v="108"/>
    <n v="0"/>
    <n v="0"/>
    <n v="0"/>
  </r>
  <r>
    <s v="STAINS"/>
    <s v="ST-CSL-09"/>
    <s v="DEF-ST-CSL-09"/>
    <x v="19"/>
    <m/>
    <s v="QP093048"/>
    <m/>
    <s v="Etude de programmation locaux vides (square molière)"/>
    <m/>
    <s v="Urbaine"/>
    <m/>
    <s v="OPH 93"/>
    <m/>
    <m/>
    <m/>
    <s v="Avec l'abandon du projet de création de bureaux à destination de la CAF, cette étude a pour objet la définition d'un programme et le chiffrage d'une opération de restructuration du local de l'ancienne supérette du square Molière (2000 m² environ), qui se situe en plein cœur du quartier au sein de l'îlot stratégique du Square Molière."/>
    <n v="40000"/>
    <n v="48000"/>
    <n v="40000"/>
    <n v="20000"/>
    <m/>
    <m/>
    <m/>
    <n v="20000"/>
    <m/>
    <m/>
    <m/>
    <m/>
    <m/>
    <m/>
    <m/>
    <m/>
    <n v="20000"/>
    <m/>
    <m/>
    <m/>
    <m/>
    <m/>
    <m/>
    <m/>
    <m/>
    <m/>
    <m/>
    <m/>
    <m/>
    <m/>
    <m/>
    <m/>
    <m/>
    <m/>
    <m/>
    <m/>
    <m/>
    <m/>
    <m/>
    <m/>
    <m/>
    <m/>
    <d v="2016-04-01T00:00:00"/>
    <n v="4"/>
    <m/>
    <m/>
    <n v="0"/>
    <n v="0"/>
  </r>
  <r>
    <s v="STAINS"/>
    <s v="ST-PRE-04"/>
    <s v="DEF-ST-PRE-01"/>
    <x v="20"/>
    <m/>
    <s v="QP093048"/>
    <m/>
    <s v="Etude techniques et de faisabilité"/>
    <m/>
    <s v="Technique"/>
    <s v="Logement"/>
    <s v="OPH 93"/>
    <m/>
    <m/>
    <s v="X"/>
    <s v="Cette étude patrimoniale, menée sur le bâti existant avec appui d'un architecte, d'un BE technique (fluides, électricité) et d'un économiste externe,permet d'établir la maquette et le chiffrage de nos opérations du NPNRU, en accord avec les conclusions de l'étude urbaine._x000d__x000a_La mission du BE et de l'économiste est appuyée par un ensemble d'études techniques nécessaires au chiffrage des opérations, dont :_x000d__x000a_ --&gt; diagnostic structure, diagnostic ETICS (façades), diagnostic acoustique, audit énergétique et diagnostic amiante plomb menés sur un échantillon de logement ;_x000d__x000a_--&gt; diagnostic VRD à mener sur les abords immédiats des immeubles à résidentialiser , afin de détecter notamment la présence d'amiante dans les voiries ou trottoirs existants et d'avoir un diagnostic de l'état des réseaux privatifs."/>
    <n v="129298"/>
    <n v="155157.6"/>
    <n v="129298"/>
    <n v="64649"/>
    <m/>
    <n v="0"/>
    <n v="0"/>
    <n v="64649"/>
    <m/>
    <m/>
    <m/>
    <m/>
    <m/>
    <m/>
    <m/>
    <m/>
    <n v="64649"/>
    <m/>
    <m/>
    <m/>
    <m/>
    <m/>
    <m/>
    <m/>
    <m/>
    <m/>
    <m/>
    <m/>
    <m/>
    <n v="0"/>
    <n v="0"/>
    <n v="0"/>
    <n v="0"/>
    <n v="0"/>
    <m/>
    <m/>
    <m/>
    <m/>
    <m/>
    <m/>
    <m/>
    <m/>
    <d v="2016-03-16T00:00:00"/>
    <n v="12"/>
    <n v="298"/>
    <n v="0"/>
    <n v="0"/>
    <n v="0"/>
  </r>
  <r>
    <s v="STAINS"/>
    <s v="ST-PRE-02"/>
    <s v="DEF-ST-PRE-02"/>
    <x v="20"/>
    <m/>
    <s v="QP093048"/>
    <m/>
    <s v="Enquêtes sociales en vue des démolitions"/>
    <m/>
    <s v="Habitat"/>
    <s v="Logement"/>
    <s v="OPH 93"/>
    <m/>
    <m/>
    <s v="X"/>
    <s v="L'enquête sociale doit permettre de prendre en compte l'état du peuplement de nos immeubles et la capacité financière des ménages (ressources, reste à vivre, demandes de mutation/relogement), afin d'appuyer la stratégie patrimoniale de nos investissements dans le cadre du NPNRU."/>
    <n v="14900"/>
    <n v="17880"/>
    <n v="14900"/>
    <n v="7450"/>
    <m/>
    <n v="0"/>
    <n v="0"/>
    <n v="7450"/>
    <m/>
    <m/>
    <m/>
    <m/>
    <m/>
    <m/>
    <m/>
    <m/>
    <n v="7450"/>
    <m/>
    <m/>
    <m/>
    <m/>
    <m/>
    <m/>
    <m/>
    <m/>
    <m/>
    <m/>
    <m/>
    <m/>
    <n v="0"/>
    <n v="0"/>
    <n v="0"/>
    <n v="0"/>
    <n v="0"/>
    <m/>
    <m/>
    <m/>
    <m/>
    <m/>
    <m/>
    <m/>
    <m/>
    <d v="2016-04-01T00:00:00"/>
    <n v="12"/>
    <n v="298"/>
    <n v="0"/>
    <n v="0"/>
    <n v="0"/>
  </r>
  <r>
    <s v="STAINS"/>
    <s v="ST-PRE-03"/>
    <s v="DEF-ST-PRE-03"/>
    <x v="20"/>
    <m/>
    <s v="QP093048"/>
    <m/>
    <s v="Etude construction neuve"/>
    <m/>
    <s v="Urbaine"/>
    <s v="Logement"/>
    <s v="OPH 93"/>
    <m/>
    <m/>
    <s v="X"/>
    <s v="Il s'agit ici de mener des études de faisabilité, études de sols (dont pollution) et géotechniques sur un îlot de reconstruction défini par l'étude urbaine.Ces études techniques permettront d'établir un chiffrage réaliste d'une opération de construction neuve de logements sociaux, qui prendra en compte l'état du foncier."/>
    <n v="16667"/>
    <n v="20000.400000000001"/>
    <n v="16667"/>
    <n v="8333.5"/>
    <m/>
    <n v="0"/>
    <n v="0"/>
    <n v="8333.5"/>
    <m/>
    <m/>
    <m/>
    <m/>
    <m/>
    <m/>
    <m/>
    <m/>
    <n v="8334"/>
    <m/>
    <m/>
    <m/>
    <m/>
    <m/>
    <m/>
    <m/>
    <m/>
    <m/>
    <m/>
    <m/>
    <m/>
    <n v="0"/>
    <n v="0"/>
    <n v="0"/>
    <n v="0"/>
    <n v="0"/>
    <m/>
    <m/>
    <m/>
    <m/>
    <m/>
    <m/>
    <m/>
    <m/>
    <d v="2016-09-01T00:00:00"/>
    <n v="6"/>
    <n v="50"/>
    <n v="0"/>
    <n v="0"/>
    <n v="-0.5"/>
  </r>
  <r>
    <s v="STAINS"/>
    <s v="ST-CSL-04"/>
    <s v="DEF-ST-TRANS-01"/>
    <x v="21"/>
    <s v="DDUS"/>
    <s v="QP093048"/>
    <s v="ST-CSL-04 / ST-CSL-11 / ST-PRE-01"/>
    <s v="Faisabilité économique et urbaine sur la frange sud du Clos - Shéma directeur sur l'ensemble du quartier en vue du NPNRU"/>
    <s v="Etudes urbaines"/>
    <s v="Urbaine"/>
    <s v="Etudes stratégiques"/>
    <s v="Plaine Commune"/>
    <m/>
    <m/>
    <s v="X"/>
    <s v="la tranche ferme de diganostic s'est déroulée dans le cadre du PNRU. _x000d__x000a_Les tranches suivantes, d'orientations et schéma directeur urbain et économiques seront affermies dans le cadre du protocole NPNRU"/>
    <n v="38450"/>
    <n v="46140"/>
    <n v="38450"/>
    <n v="15380"/>
    <s v="Diagnostic déjà réalisé hors protocole (phase 1)"/>
    <n v="0"/>
    <n v="9612.5"/>
    <n v="9612.5"/>
    <m/>
    <m/>
    <m/>
    <m/>
    <m/>
    <m/>
    <m/>
    <m/>
    <n v="9613"/>
    <m/>
    <m/>
    <m/>
    <m/>
    <m/>
    <m/>
    <m/>
    <m/>
    <m/>
    <m/>
    <m/>
    <m/>
    <n v="3845"/>
    <n v="0"/>
    <n v="0"/>
    <n v="0"/>
    <n v="0"/>
    <m/>
    <m/>
    <m/>
    <m/>
    <m/>
    <m/>
    <m/>
    <m/>
    <d v="2016-03-16T00:00:00"/>
    <n v="18"/>
    <n v="0"/>
    <n v="0"/>
    <n v="0"/>
    <n v="-0.5"/>
  </r>
  <r>
    <s v="STAINS"/>
    <s v="ST-CSL-11"/>
    <s v="DEF-ST-TRANS-01"/>
    <x v="21"/>
    <s v="DDUS"/>
    <s v="QP093048"/>
    <s v="ST-CSL-04 / ST-CSL-11 / ST-PRE-01"/>
    <s v="étude de programmation / articulation Clos Saint Lazare et Tartres"/>
    <s v="Etudes urbaines"/>
    <s v="Urbaine"/>
    <s v="Etudes stratégiques"/>
    <s v="Plaine Commune"/>
    <m/>
    <m/>
    <s v="X"/>
    <s v="Sur la base d'une proposition de programme actualisé sur la ZAC des Tartres, questionnement de la programmation du Clos Saint Lazare, pour un travail itératif, garantissant une bonne cohérence entre les 2 projets"/>
    <n v="20000"/>
    <n v="24000"/>
    <n v="20000"/>
    <n v="10000"/>
    <m/>
    <n v="0"/>
    <n v="10000"/>
    <n v="0"/>
    <m/>
    <m/>
    <m/>
    <m/>
    <m/>
    <m/>
    <m/>
    <m/>
    <m/>
    <m/>
    <m/>
    <m/>
    <m/>
    <m/>
    <m/>
    <m/>
    <m/>
    <m/>
    <m/>
    <m/>
    <m/>
    <n v="0"/>
    <n v="0"/>
    <n v="0"/>
    <n v="0"/>
    <n v="0"/>
    <m/>
    <m/>
    <m/>
    <m/>
    <m/>
    <m/>
    <m/>
    <m/>
    <d v="2016-03-16T00:00:00"/>
    <n v="5"/>
    <n v="0"/>
    <n v="0"/>
    <n v="0"/>
    <n v="0"/>
  </r>
  <r>
    <s v="STAINS"/>
    <s v="ST-PRE-01"/>
    <s v="DEF-ST-TRANS-01"/>
    <x v="21"/>
    <s v="DDUS"/>
    <s v="QP093048"/>
    <s v="ST-CSL-04 / ST-CSL-11 / ST-PRE-01"/>
    <s v="Etude urbaine"/>
    <s v="Etudes urbaines"/>
    <s v="Urbaine"/>
    <s v="Etudes stratégiques"/>
    <s v="Plaine Commune"/>
    <m/>
    <m/>
    <s v="X"/>
    <s v="diagnostic multiscalaire du fonctionnement actuel du site, proposition de scénarii de rénovation urbaine, validation d'un schéma directeur chiffré comprenant la programmation bâti, équipements, activité, espaces publics_x000d__x000a_ _x000d__x000a_Cette étude comprendra différents volets :_x000d__x000a_ _x000d__x000a_-économique_x000d__x000a_-foncier_x000d__x000a_-environemental_x000d__x000a_ _x000d__x000a_et sera amené à établir ue programmation, le schéma directeur du NPNRU et participe au montage du dossier"/>
    <n v="100000"/>
    <n v="120000"/>
    <n v="100000"/>
    <n v="40000"/>
    <m/>
    <n v="0"/>
    <n v="25000"/>
    <n v="25000"/>
    <m/>
    <m/>
    <m/>
    <m/>
    <m/>
    <m/>
    <m/>
    <m/>
    <n v="25000"/>
    <m/>
    <m/>
    <m/>
    <m/>
    <m/>
    <m/>
    <m/>
    <m/>
    <m/>
    <m/>
    <m/>
    <m/>
    <n v="10000"/>
    <n v="0"/>
    <n v="0"/>
    <n v="0"/>
    <n v="0"/>
    <m/>
    <m/>
    <m/>
    <m/>
    <m/>
    <m/>
    <m/>
    <m/>
    <d v="2016-05-01T00:00:00"/>
    <n v="18"/>
    <n v="0"/>
    <n v="0"/>
    <n v="0"/>
    <n v="0"/>
  </r>
  <r>
    <s v="STAINS"/>
    <s v="ST-CSL-22_x000d__x000a_ST-PRE-09_x000d__x000a_ST-CSL-12"/>
    <s v="DEF-ST-TRANS-02"/>
    <x v="21"/>
    <s v="DDUS"/>
    <s v="QP093048"/>
    <s v="ST-CSL-22 /_x000d_ ST-PRE-09 / ST-CSL-12"/>
    <s v="accompagnement PIA et NPNRU : AMO co-construction et innovation sociale/environnementale"/>
    <s v="accompagnement PIA et NPNRU : AMO co-construction et innovation sociale/environnementale"/>
    <s v="Accompagnement"/>
    <s v="Etudes stratégiques"/>
    <s v="Plaine Commune"/>
    <m/>
    <m/>
    <s v="X"/>
    <s v="accompagnement de la direction de projet sur les aspects développement durable, le volet innovant lié à l'AMI et la co-construction du projet NPNRU sur les 2 quartiers :_x000d__x000a_ _x000d__x000a_Trois volets sont attendus :_x000d__x000a_ _x000d__x000a_- un retour d'expérience du PRU, notamment sous langle du reste à vivre_x000d__x000a_ _x000d__x000a_- un diagnostic innovant et participatif des mobilités_x000d__x000a_ _x000d__x000a_- un accompagnement à la structuration et l'animation de la démarche AMI &quot;ville durable et solidaire&quot;_x000d__x000a_ _x000d__x000a_- un accompagnement à l'élaboration et l'animation du dispositif de co-construction, en lien avec les études urbaines_x000d__x000a_ _x000d__x000a_- l'élaboration et la rédaction des chartes d'objectifs et d'engagements, en déclinaison de la charte aménagement soutenable de Plaine Commune"/>
    <n v="210000"/>
    <n v="252000"/>
    <n v="210000"/>
    <n v="56750"/>
    <s v="accompagnement de la direction de projet sur la démarche AMI (innovation sociale) _x000d__x000a__x000d_Autre : financement AMI &quot;villes durables et solidaires&quot;"/>
    <n v="0"/>
    <n v="31500"/>
    <n v="25250"/>
    <m/>
    <m/>
    <m/>
    <m/>
    <m/>
    <m/>
    <m/>
    <m/>
    <n v="25250"/>
    <m/>
    <m/>
    <m/>
    <m/>
    <m/>
    <m/>
    <m/>
    <m/>
    <m/>
    <m/>
    <m/>
    <m/>
    <n v="0"/>
    <n v="0"/>
    <n v="0"/>
    <n v="0"/>
    <n v="96500"/>
    <m/>
    <m/>
    <m/>
    <m/>
    <m/>
    <m/>
    <m/>
    <n v="96500"/>
    <d v="2016-04-01T00:00:00"/>
    <n v="20"/>
    <n v="2484"/>
    <m/>
    <n v="0"/>
    <n v="0"/>
  </r>
  <r>
    <s v="VILLETANEUSE"/>
    <s v="VI-LEU-01"/>
    <s v="DEF-VI-LEU-01"/>
    <x v="22"/>
    <s v="DDUS"/>
    <s v="QP093049"/>
    <m/>
    <s v="Etude de programmation médiathèque"/>
    <s v="Etudes urbaines et programmation"/>
    <s v="Urbaine"/>
    <s v="Equipements"/>
    <s v="Plaine Commune"/>
    <m/>
    <m/>
    <s v="X"/>
    <s v="Les deux médiathèques actuelles sont peu adaptées et se partagent alternativement les personnels d’accueil : la médiathèque Jean Renaudie au nord  et la médiathèque Max-Pol Fouchet au sud, cette dernière étant particulièrement peu lisible._x000d__x000a_ _x000d__x000a_La direction de la lecture publique de Plaine Commune souhaite créer un nouvel équipement adapté aux besoins des villetaneusiens sur l’avenue de la Division Leclerc à proximité du Collège Jean Vilar et du tramway T8, au rez de chaussée d'un programme de logements._x000d__x000a_ _x000d__x000a_La réalisation de l'ensemble étant envisagé via une acquisition en l'état futur d'achèvement, l'étude permettra de fixer le programme à confier à l'opérateur retenu."/>
    <n v="20833"/>
    <n v="24999.599999999999"/>
    <n v="20833"/>
    <n v="0"/>
    <s v="etude déjà lancée"/>
    <n v="0"/>
    <n v="20833"/>
    <n v="0"/>
    <m/>
    <m/>
    <m/>
    <m/>
    <m/>
    <m/>
    <m/>
    <m/>
    <m/>
    <m/>
    <m/>
    <m/>
    <m/>
    <m/>
    <m/>
    <m/>
    <m/>
    <m/>
    <m/>
    <m/>
    <m/>
    <n v="0"/>
    <n v="0"/>
    <n v="0"/>
    <n v="0"/>
    <n v="0"/>
    <m/>
    <m/>
    <m/>
    <m/>
    <m/>
    <m/>
    <m/>
    <m/>
    <d v="2016-03-16T00:00:00"/>
    <n v="6"/>
    <n v="0"/>
    <n v="0"/>
    <n v="0"/>
    <n v="0"/>
  </r>
  <r>
    <s v="VILLETANEUSE"/>
    <s v="VI-LEU-02"/>
    <s v="DEF-VI-LEU-02"/>
    <x v="22"/>
    <m/>
    <s v="QP093049"/>
    <m/>
    <s v="Diagnostics techniques"/>
    <m/>
    <s v="Technique"/>
    <s v="Espaces extérieurs"/>
    <s v="OPH 93"/>
    <m/>
    <m/>
    <s v="X"/>
    <s v="Diagnostic portant sur les espaces extérieurs du bailleur, permettant de consolider la faisabilité technique et financière pour les espaces susceptibles d’être cédés à la Ville pour que Plaine Commune réalise de nouvelles voies publiques."/>
    <n v="30000"/>
    <n v="36000"/>
    <n v="30000"/>
    <n v="15000"/>
    <m/>
    <n v="0"/>
    <n v="0"/>
    <n v="15000"/>
    <m/>
    <m/>
    <m/>
    <m/>
    <m/>
    <m/>
    <m/>
    <m/>
    <n v="15000"/>
    <m/>
    <m/>
    <m/>
    <m/>
    <m/>
    <m/>
    <m/>
    <m/>
    <m/>
    <m/>
    <m/>
    <m/>
    <n v="0"/>
    <n v="0"/>
    <n v="0"/>
    <n v="0"/>
    <n v="0"/>
    <m/>
    <m/>
    <m/>
    <m/>
    <m/>
    <m/>
    <m/>
    <m/>
    <d v="2017-01-01T00:00:00"/>
    <n v="4"/>
    <n v="414"/>
    <n v="0"/>
    <n v="0"/>
    <n v="0"/>
  </r>
  <r>
    <s v="VILLETANEUSE"/>
    <s v="VI-LEU-03"/>
    <s v="DEF-VI-LEU-03"/>
    <x v="22"/>
    <m/>
    <s v="QP093049"/>
    <m/>
    <s v="Diagnostic amiante espaces extérieurs"/>
    <m/>
    <s v="Technique"/>
    <s v="Espaces extérieurs"/>
    <s v="OPH 93"/>
    <m/>
    <m/>
    <s v="X"/>
    <s v="Diagnostic portant sur les espaces extérieurs du bailleur, permettant de consolider la faisabilité technique et financière pour les espaces susceptibles d’être cédés à la Ville pour que Plaine Commune réalise de nouvelles voies publiques."/>
    <n v="10000"/>
    <n v="12000"/>
    <n v="10000"/>
    <n v="5000"/>
    <m/>
    <n v="0"/>
    <n v="0"/>
    <n v="5000"/>
    <m/>
    <m/>
    <m/>
    <m/>
    <m/>
    <m/>
    <m/>
    <m/>
    <n v="5000"/>
    <m/>
    <m/>
    <m/>
    <m/>
    <m/>
    <m/>
    <m/>
    <m/>
    <m/>
    <m/>
    <m/>
    <m/>
    <n v="0"/>
    <n v="0"/>
    <n v="0"/>
    <n v="0"/>
    <n v="0"/>
    <m/>
    <m/>
    <m/>
    <m/>
    <m/>
    <m/>
    <m/>
    <m/>
    <d v="2017-01-01T00:00:00"/>
    <n v="4"/>
    <n v="414"/>
    <n v="0"/>
    <n v="0"/>
    <n v="0"/>
  </r>
  <r>
    <s v="VILLETANEUSE"/>
    <s v="VI-LEU-04"/>
    <s v="DEF-VI-LEU-04"/>
    <x v="22"/>
    <m/>
    <s v="QP093049"/>
    <m/>
    <s v="Etude réseaux et ITV"/>
    <m/>
    <s v="Technique"/>
    <s v="Espaces extérieurs"/>
    <s v="OPH 93"/>
    <m/>
    <m/>
    <s v="X"/>
    <s v="Diagnostic portant sur les espaces extérieurs du bailleur, permettant de consolider la faisabilité technique et financière pour les espaces susceptibles d’être cédés à la Ville pour que Plaine Commune réalise de nouvelles voies publiques."/>
    <n v="30000"/>
    <n v="36000"/>
    <n v="30000"/>
    <n v="15000"/>
    <m/>
    <n v="0"/>
    <n v="0"/>
    <n v="15000"/>
    <m/>
    <m/>
    <m/>
    <m/>
    <m/>
    <m/>
    <m/>
    <m/>
    <n v="15000"/>
    <m/>
    <m/>
    <m/>
    <m/>
    <m/>
    <m/>
    <m/>
    <m/>
    <m/>
    <m/>
    <m/>
    <m/>
    <n v="0"/>
    <n v="0"/>
    <n v="0"/>
    <n v="0"/>
    <n v="0"/>
    <m/>
    <m/>
    <m/>
    <m/>
    <m/>
    <m/>
    <m/>
    <m/>
    <d v="2017-01-01T00:00:00"/>
    <n v="6"/>
    <n v="414"/>
    <n v="0"/>
    <n v="0"/>
    <n v="0"/>
  </r>
  <r>
    <s v="VILLETANEUSE"/>
    <s v="VI-LEU-05"/>
    <s v="DEF-VI-LEU-05"/>
    <x v="22"/>
    <m/>
    <s v="QP093049"/>
    <m/>
    <s v="Audit environnemental et analyses de sol"/>
    <m/>
    <s v="Technique"/>
    <s v="Espaces extérieurs"/>
    <s v="OPH 93"/>
    <m/>
    <m/>
    <s v="X"/>
    <s v="Diagnostic portant sur les espaces extérieurs du bailleur, permettant de consolider la faisabilité technique et financière pour les espaces susceptibles d’être cédés à la Ville pour que Plaine Commune réalise de nouvelles voies publiques."/>
    <n v="20000"/>
    <n v="24000"/>
    <n v="20000"/>
    <n v="10000"/>
    <m/>
    <n v="0"/>
    <n v="0"/>
    <n v="10000"/>
    <m/>
    <m/>
    <m/>
    <m/>
    <m/>
    <m/>
    <m/>
    <m/>
    <n v="10000"/>
    <m/>
    <m/>
    <m/>
    <m/>
    <m/>
    <m/>
    <m/>
    <m/>
    <m/>
    <m/>
    <m/>
    <m/>
    <n v="0"/>
    <n v="0"/>
    <n v="0"/>
    <n v="0"/>
    <n v="0"/>
    <m/>
    <m/>
    <m/>
    <m/>
    <m/>
    <m/>
    <m/>
    <m/>
    <d v="2017-06-01T00:00:00"/>
    <n v="6"/>
    <n v="414"/>
    <n v="0"/>
    <n v="0"/>
    <n v="0"/>
  </r>
  <r>
    <s v="VILLETANEUSE"/>
    <s v="VI-LEU-06"/>
    <s v="DEF-VI-LEU-06"/>
    <x v="22"/>
    <m/>
    <s v="QP093049"/>
    <m/>
    <s v="Audit géotechnique"/>
    <m/>
    <s v="Technique"/>
    <s v="Espaces extérieurs"/>
    <s v="OPH 93"/>
    <m/>
    <m/>
    <s v="X"/>
    <s v="Diagnostic portant sur les espaces extérieurs du bailleur, permettant de consolider la faisabilité technique et financière pour les espaces susceptibles d’être cédés à la Ville pour que Plaine Commune réalise de nouvelles voies publiques."/>
    <n v="10000"/>
    <n v="12000"/>
    <n v="10000"/>
    <n v="5000"/>
    <m/>
    <n v="0"/>
    <n v="0"/>
    <n v="5000"/>
    <m/>
    <m/>
    <m/>
    <m/>
    <m/>
    <m/>
    <m/>
    <m/>
    <n v="5000"/>
    <m/>
    <m/>
    <m/>
    <m/>
    <m/>
    <m/>
    <m/>
    <m/>
    <m/>
    <m/>
    <m/>
    <m/>
    <n v="0"/>
    <n v="0"/>
    <n v="0"/>
    <n v="0"/>
    <n v="0"/>
    <m/>
    <m/>
    <m/>
    <m/>
    <m/>
    <m/>
    <m/>
    <m/>
    <d v="2016-06-01T00:00:00"/>
    <n v="4"/>
    <n v="414"/>
    <n v="0"/>
    <n v="0"/>
    <n v="0"/>
  </r>
  <r>
    <s v="VILLETANEUSE"/>
    <s v="VI-LEU-07"/>
    <s v="DEF-VI-LEU-07"/>
    <x v="22"/>
    <m/>
    <s v="QP093049"/>
    <m/>
    <s v="Diagnostic structure / étanchéité parking souterrain / préconisations"/>
    <m/>
    <s v="Technique"/>
    <s v="Espaces extérieurs"/>
    <s v="OPH 93"/>
    <m/>
    <m/>
    <s v="X"/>
    <s v="Plaine Commune envisage de créer une future voirie publique dont le tracé passe au-dessus d'un parking en ouvrage appartenant à l'Oph93 (parking Grandcoing)._x000d__x000a_ _x000d__x000a_Il est donc nécessaire que le bailleur confirme les possibilité de portance de la dalle ainsi que l'état de l'étanchéite du dessus, le prestataire étant appelé à formuler des préconisations pour la future voie."/>
    <n v="40000"/>
    <n v="48000"/>
    <n v="40000"/>
    <n v="20000"/>
    <m/>
    <n v="0"/>
    <n v="10000"/>
    <n v="10000"/>
    <m/>
    <m/>
    <m/>
    <m/>
    <m/>
    <m/>
    <m/>
    <m/>
    <n v="10000"/>
    <m/>
    <m/>
    <m/>
    <m/>
    <m/>
    <m/>
    <m/>
    <m/>
    <m/>
    <m/>
    <m/>
    <m/>
    <n v="0"/>
    <n v="0"/>
    <n v="0"/>
    <n v="0"/>
    <n v="0"/>
    <m/>
    <m/>
    <m/>
    <m/>
    <m/>
    <m/>
    <m/>
    <m/>
    <d v="2017-01-01T00:00:00"/>
    <n v="6"/>
    <n v="414"/>
    <n v="0"/>
    <n v="0"/>
    <n v="0"/>
  </r>
  <r>
    <s v="VILLETANEUSE"/>
    <s v="VI-LEU-08"/>
    <s v="DEF-VI-LEU-08"/>
    <x v="22"/>
    <m/>
    <s v="QP093049"/>
    <m/>
    <s v="Relevé de géomètre parking souterrain"/>
    <m/>
    <s v="Technique"/>
    <s v="Espaces extérieurs"/>
    <s v="OPH 93"/>
    <m/>
    <m/>
    <s v="X"/>
    <s v="Relevé portant sur le parking en ouvrage du bailleur, au-dessus duquel Plaine Commune souhaite faire passer une voirie publique."/>
    <n v="10000"/>
    <n v="12000"/>
    <n v="10000"/>
    <n v="5000"/>
    <m/>
    <n v="0"/>
    <n v="0"/>
    <n v="5000"/>
    <m/>
    <m/>
    <m/>
    <m/>
    <m/>
    <m/>
    <m/>
    <m/>
    <n v="5000"/>
    <m/>
    <m/>
    <m/>
    <m/>
    <m/>
    <m/>
    <m/>
    <m/>
    <m/>
    <m/>
    <m/>
    <m/>
    <n v="0"/>
    <n v="0"/>
    <n v="0"/>
    <n v="0"/>
    <n v="0"/>
    <m/>
    <m/>
    <m/>
    <m/>
    <m/>
    <m/>
    <m/>
    <m/>
    <d v="2016-06-01T00:00:00"/>
    <n v="4"/>
    <n v="414"/>
    <n v="0"/>
    <n v="0"/>
    <n v="0"/>
  </r>
  <r>
    <s v="VILLETANEUSE"/>
    <s v="VI-LEU-09"/>
    <s v="DEF-VI-LEU-09"/>
    <x v="22"/>
    <m/>
    <s v="QP093049"/>
    <m/>
    <s v="Etude foncière et de division en volume"/>
    <m/>
    <s v="Juridique"/>
    <s v="Logement"/>
    <s v="OPH 93"/>
    <m/>
    <m/>
    <s v="X"/>
    <s v="Etude permettant de préparer sur le plan juridique le passage d'une future voirie publique réalisée par Plaine Commune au-dessus du parking en ouvrage de l'Oph93."/>
    <n v="10000"/>
    <n v="12000"/>
    <n v="10000"/>
    <n v="5000"/>
    <m/>
    <n v="0"/>
    <n v="0"/>
    <n v="5000"/>
    <m/>
    <m/>
    <m/>
    <m/>
    <m/>
    <m/>
    <m/>
    <m/>
    <n v="5000"/>
    <m/>
    <m/>
    <m/>
    <m/>
    <m/>
    <m/>
    <m/>
    <m/>
    <m/>
    <m/>
    <m/>
    <m/>
    <n v="0"/>
    <n v="0"/>
    <n v="0"/>
    <n v="0"/>
    <n v="0"/>
    <m/>
    <m/>
    <m/>
    <m/>
    <m/>
    <m/>
    <m/>
    <m/>
    <d v="2017-01-01T00:00:00"/>
    <n v="4"/>
    <n v="414"/>
    <n v="0"/>
    <n v="0"/>
    <n v="0"/>
  </r>
  <r>
    <s v="VILLETANEUSE"/>
    <s v="VI-LEU-10"/>
    <s v="DEF-VI-LEU-10"/>
    <x v="22"/>
    <m/>
    <s v="QP093049"/>
    <m/>
    <s v="Etude de repérage de diagnostic des réseaux"/>
    <m/>
    <s v="Technique"/>
    <s v="Espaces extérieurs"/>
    <s v="OGIF"/>
    <m/>
    <m/>
    <s v="X"/>
    <s v="Diagnostic portant sur les espaces extérieurs du bailleur, qui permettra de définir la faisabilité et le coût du projet de résidentialisation et du projet de future voirie publique que Plaine Commune envisage."/>
    <n v="20833.333333333299"/>
    <n v="25000"/>
    <n v="20833"/>
    <n v="6250"/>
    <s v="Etudes OGIF financées ANRU mais taux minoré"/>
    <n v="0"/>
    <n v="0"/>
    <n v="14583"/>
    <m/>
    <m/>
    <m/>
    <m/>
    <m/>
    <m/>
    <m/>
    <m/>
    <m/>
    <m/>
    <m/>
    <n v="14583"/>
    <m/>
    <m/>
    <m/>
    <m/>
    <m/>
    <m/>
    <m/>
    <m/>
    <m/>
    <n v="0"/>
    <n v="0"/>
    <n v="0"/>
    <n v="0"/>
    <n v="0"/>
    <m/>
    <m/>
    <m/>
    <m/>
    <m/>
    <m/>
    <m/>
    <m/>
    <d v="2016-06-01T00:00:00"/>
    <n v="3"/>
    <n v="483"/>
    <n v="0"/>
    <n v="0"/>
    <n v="0"/>
  </r>
  <r>
    <s v="VILLETANEUSE"/>
    <s v="VI-LEU-11"/>
    <s v="DEF-VI-LEU-11"/>
    <x v="22"/>
    <m/>
    <s v="QP093049"/>
    <m/>
    <s v="Etude assainissement - repérage ITV et étanchéité des réseaux"/>
    <m/>
    <s v="Technique"/>
    <s v="Espaces extérieurs"/>
    <s v="OGIF"/>
    <m/>
    <m/>
    <s v="X"/>
    <s v="Diagnostic portant sur les espaces extérieurs du bailleur, qui permettra de définir la faisabilité et le coût du projet de résidentialisation et du projet de future voirie publique que Plaine Commune envisage."/>
    <n v="20000"/>
    <n v="24000"/>
    <n v="20000"/>
    <n v="6000"/>
    <s v="Etudes OGIF financées ANRU mais taux minoré"/>
    <n v="0"/>
    <n v="0"/>
    <n v="14000"/>
    <m/>
    <m/>
    <m/>
    <m/>
    <m/>
    <m/>
    <m/>
    <m/>
    <m/>
    <m/>
    <m/>
    <n v="14000"/>
    <m/>
    <m/>
    <m/>
    <m/>
    <m/>
    <m/>
    <m/>
    <m/>
    <m/>
    <n v="0"/>
    <n v="0"/>
    <n v="0"/>
    <n v="0"/>
    <n v="0"/>
    <m/>
    <m/>
    <m/>
    <m/>
    <m/>
    <m/>
    <m/>
    <m/>
    <d v="2016-06-01T00:00:00"/>
    <n v="2"/>
    <n v="483"/>
    <n v="0"/>
    <n v="0"/>
    <n v="0"/>
  </r>
  <r>
    <s v="VILLETANEUSE"/>
    <s v="VI-LEU-12"/>
    <s v="DEF-VI-LEU-12"/>
    <x v="22"/>
    <m/>
    <s v="QP093049"/>
    <m/>
    <s v="Etude de repérage amiante des réseaux, des V.R.D et diagnostic pollution"/>
    <m/>
    <s v="Technique"/>
    <s v="Espaces extérieurs"/>
    <s v="OGIF"/>
    <m/>
    <m/>
    <s v="X"/>
    <s v="Diagnostic portant sur les espaces extérieurs du bailleur, qui permettra de définir la faisabilité et le coût du projet de résidentialisation et du projet de future voirie publique que Plaine Commune envisage."/>
    <n v="29166.666666666701"/>
    <n v="35000"/>
    <n v="29167"/>
    <n v="8750"/>
    <s v="Etudes OGIF financées ANRU mais taux minoré"/>
    <n v="0"/>
    <n v="0"/>
    <n v="20417"/>
    <m/>
    <m/>
    <m/>
    <m/>
    <m/>
    <m/>
    <m/>
    <m/>
    <m/>
    <m/>
    <m/>
    <n v="20417"/>
    <m/>
    <m/>
    <m/>
    <m/>
    <m/>
    <m/>
    <m/>
    <m/>
    <m/>
    <n v="0"/>
    <n v="0"/>
    <n v="0"/>
    <n v="0"/>
    <n v="0"/>
    <m/>
    <m/>
    <m/>
    <m/>
    <m/>
    <m/>
    <m/>
    <m/>
    <d v="2016-06-01T00:00:00"/>
    <n v="2"/>
    <n v="483"/>
    <n v="0"/>
    <n v="0"/>
    <n v="0"/>
  </r>
  <r>
    <s v="VILLETANEUSE"/>
    <s v="VI-LEU-15"/>
    <s v="DEF-VI-LEU-13"/>
    <x v="22"/>
    <m/>
    <s v="QP093049"/>
    <m/>
    <s v="Sondage sur structure existante logements"/>
    <m/>
    <s v="Habitat"/>
    <s v="Logement"/>
    <s v="France Habitation"/>
    <m/>
    <m/>
    <s v="X"/>
    <s v="Diagnostic portant sur le parc social du bailleur, qui permettra de définir le programme et le coût du projet de réhabilitation."/>
    <n v="50000"/>
    <n v="60000"/>
    <n v="50000"/>
    <n v="25000"/>
    <m/>
    <n v="0"/>
    <n v="0"/>
    <n v="25000"/>
    <m/>
    <n v="25000"/>
    <m/>
    <m/>
    <m/>
    <m/>
    <m/>
    <m/>
    <m/>
    <m/>
    <m/>
    <m/>
    <m/>
    <m/>
    <m/>
    <m/>
    <m/>
    <m/>
    <m/>
    <m/>
    <m/>
    <n v="0"/>
    <n v="0"/>
    <n v="0"/>
    <n v="0"/>
    <n v="0"/>
    <m/>
    <m/>
    <m/>
    <m/>
    <m/>
    <m/>
    <m/>
    <m/>
    <d v="2016-06-01T00:00:00"/>
    <n v="3"/>
    <n v="614"/>
    <n v="0"/>
    <n v="0"/>
    <n v="0"/>
  </r>
  <r>
    <s v="VILLETANEUSE"/>
    <s v="VI-LEU-16"/>
    <s v="DEF-VI-LEU-14"/>
    <x v="22"/>
    <m/>
    <s v="QP093049"/>
    <m/>
    <s v="Relevé géomètre logements"/>
    <m/>
    <s v="Habitat"/>
    <s v="Logement"/>
    <s v="France Habitation"/>
    <m/>
    <m/>
    <s v="X"/>
    <s v="Diagnostic portant sur le parc social du bailleur, qui permettra de définir le programme et le coût du projet de réhabilitation."/>
    <n v="62750"/>
    <n v="75300"/>
    <n v="62750"/>
    <n v="31375"/>
    <m/>
    <n v="0"/>
    <n v="0"/>
    <n v="31375"/>
    <m/>
    <n v="31375"/>
    <m/>
    <m/>
    <m/>
    <m/>
    <m/>
    <m/>
    <m/>
    <m/>
    <m/>
    <m/>
    <m/>
    <m/>
    <m/>
    <m/>
    <m/>
    <m/>
    <m/>
    <m/>
    <m/>
    <n v="0"/>
    <n v="0"/>
    <n v="0"/>
    <n v="0"/>
    <n v="0"/>
    <m/>
    <m/>
    <m/>
    <m/>
    <m/>
    <m/>
    <m/>
    <m/>
    <d v="2016-06-01T00:00:00"/>
    <n v="3"/>
    <n v="614"/>
    <n v="0"/>
    <n v="0"/>
    <n v="0"/>
  </r>
  <r>
    <s v="VILLETANEUSE"/>
    <s v="VI-LEU-17"/>
    <s v="DEF-VI-LEU-15"/>
    <x v="22"/>
    <m/>
    <s v="QP093049"/>
    <m/>
    <s v="Diagnostic amiante et plomb (façades, parties communes, logements)"/>
    <m/>
    <s v="Habitat"/>
    <s v="Logement"/>
    <s v="France Habitation"/>
    <m/>
    <m/>
    <s v="X"/>
    <s v="Diagnostic portant sur le parc social du bailleur, qui permettra de définir le programme et le coût du projet de réhabilitation."/>
    <n v="153250"/>
    <n v="183900"/>
    <n v="153250"/>
    <n v="76625"/>
    <m/>
    <n v="0"/>
    <n v="0"/>
    <n v="76625"/>
    <m/>
    <n v="76625"/>
    <m/>
    <m/>
    <m/>
    <m/>
    <m/>
    <m/>
    <m/>
    <m/>
    <m/>
    <m/>
    <m/>
    <m/>
    <m/>
    <m/>
    <m/>
    <m/>
    <m/>
    <m/>
    <m/>
    <n v="0"/>
    <n v="0"/>
    <n v="0"/>
    <n v="0"/>
    <n v="0"/>
    <m/>
    <m/>
    <m/>
    <m/>
    <m/>
    <m/>
    <m/>
    <m/>
    <d v="2016-06-01T00:00:00"/>
    <n v="3"/>
    <n v="614"/>
    <n v="0"/>
    <n v="0"/>
    <n v="0"/>
  </r>
  <r>
    <s v="VILLETANEUSE"/>
    <s v="VI-LEU-18"/>
    <s v="DEF-VI-LEU-16"/>
    <x v="22"/>
    <m/>
    <s v="QP093049"/>
    <m/>
    <s v="Audit énergétique bâti"/>
    <m/>
    <s v="Habitat"/>
    <s v="Logement"/>
    <s v="France Habitation"/>
    <m/>
    <m/>
    <s v="X"/>
    <s v="Diagnostic portant sur le parc social du bailleur, qui permettra de définir le programme et le coût du projet de réhabilitation."/>
    <n v="25000"/>
    <n v="30000"/>
    <n v="25000"/>
    <n v="12500"/>
    <m/>
    <n v="0"/>
    <n v="0"/>
    <n v="12500"/>
    <m/>
    <n v="12500"/>
    <m/>
    <m/>
    <m/>
    <m/>
    <m/>
    <m/>
    <m/>
    <m/>
    <m/>
    <m/>
    <m/>
    <m/>
    <m/>
    <m/>
    <m/>
    <m/>
    <m/>
    <m/>
    <m/>
    <n v="0"/>
    <n v="0"/>
    <n v="0"/>
    <n v="0"/>
    <n v="0"/>
    <m/>
    <m/>
    <m/>
    <m/>
    <m/>
    <m/>
    <m/>
    <m/>
    <d v="2016-06-01T00:00:00"/>
    <n v="2"/>
    <n v="614"/>
    <n v="0"/>
    <n v="0"/>
    <n v="0"/>
  </r>
  <r>
    <s v="VILLETANEUSE"/>
    <s v="VI-LEU-19"/>
    <s v="DEF-VI-LEU-17"/>
    <x v="22"/>
    <m/>
    <s v="QP093049"/>
    <m/>
    <s v="Diagnostic amiante et plomb VRD"/>
    <m/>
    <s v="Technique"/>
    <s v="Espaces extérieurs"/>
    <s v="France Habitation"/>
    <m/>
    <m/>
    <s v="X"/>
    <s v="Diagnostic portant sur les espaces extérieurs du bailleur, qui permettra de définir la faisabilité et le coût du projet de résidentialisation et du projet de future voirie publique que Plaine Commune envisage."/>
    <n v="12500"/>
    <n v="15000"/>
    <n v="12500"/>
    <n v="6250"/>
    <m/>
    <n v="0"/>
    <n v="0"/>
    <n v="6250"/>
    <m/>
    <n v="6250"/>
    <m/>
    <m/>
    <m/>
    <m/>
    <m/>
    <m/>
    <m/>
    <m/>
    <m/>
    <m/>
    <m/>
    <m/>
    <m/>
    <m/>
    <m/>
    <m/>
    <m/>
    <m/>
    <m/>
    <n v="0"/>
    <n v="0"/>
    <n v="0"/>
    <n v="0"/>
    <n v="0"/>
    <m/>
    <m/>
    <m/>
    <m/>
    <m/>
    <m/>
    <m/>
    <m/>
    <d v="2016-06-01T00:00:00"/>
    <n v="3"/>
    <n v="453"/>
    <n v="0"/>
    <n v="0"/>
    <n v="0"/>
  </r>
  <r>
    <s v="VILLETANEUSE"/>
    <s v="VI-LEU-20"/>
    <s v="DEF-VI-LEU-18"/>
    <x v="22"/>
    <m/>
    <s v="QP093049"/>
    <m/>
    <s v="Sondages de pollution et structure de sol"/>
    <m/>
    <s v="Technique"/>
    <s v="Espaces extérieurs"/>
    <s v="France Habitation"/>
    <m/>
    <m/>
    <s v="X"/>
    <s v="Diagnostic portant sur les espaces extérieurs du bailleur, qui permettra de définir la faisabilité et le coût du projet de résidentialisation et du projet de future voirie publique que Plaine Commune envisage."/>
    <n v="117780"/>
    <n v="141336"/>
    <n v="117780"/>
    <n v="58890"/>
    <s v="montant initial de 461667"/>
    <n v="0"/>
    <n v="0"/>
    <n v="58890"/>
    <m/>
    <n v="58890"/>
    <m/>
    <m/>
    <m/>
    <m/>
    <m/>
    <m/>
    <m/>
    <m/>
    <m/>
    <m/>
    <m/>
    <m/>
    <m/>
    <m/>
    <m/>
    <m/>
    <m/>
    <m/>
    <m/>
    <n v="0"/>
    <n v="0"/>
    <n v="0"/>
    <n v="0"/>
    <n v="0"/>
    <m/>
    <m/>
    <m/>
    <m/>
    <m/>
    <m/>
    <m/>
    <m/>
    <d v="2016-06-01T00:00:00"/>
    <n v="3"/>
    <n v="453"/>
    <n v="0"/>
    <n v="0"/>
    <n v="0"/>
  </r>
  <r>
    <s v="VILLETANEUSE"/>
    <s v="VI-LEU-21"/>
    <s v="DEF-VI-LEU-19"/>
    <x v="22"/>
    <m/>
    <s v="QP093049"/>
    <m/>
    <s v="Etude de diagnostic des réseaux et repérage ITV"/>
    <m/>
    <s v="Technique"/>
    <s v="Espaces extérieurs"/>
    <s v="France Habitation"/>
    <m/>
    <m/>
    <s v="X"/>
    <s v="Diagnostic portant sur les espaces extérieurs du bailleur, qui permettra de définir la faisabilité et le coût du projet de résidentialisation et du projet de future voirie publique que Plaine Commune envisage."/>
    <n v="117780"/>
    <n v="141336"/>
    <n v="117780"/>
    <n v="58890"/>
    <s v="montant initial de 291667"/>
    <n v="0"/>
    <n v="0"/>
    <n v="58890"/>
    <m/>
    <n v="58890"/>
    <m/>
    <m/>
    <m/>
    <m/>
    <m/>
    <m/>
    <m/>
    <m/>
    <m/>
    <m/>
    <m/>
    <m/>
    <m/>
    <m/>
    <m/>
    <m/>
    <m/>
    <m/>
    <m/>
    <n v="0"/>
    <n v="0"/>
    <n v="0"/>
    <n v="0"/>
    <n v="0"/>
    <m/>
    <m/>
    <m/>
    <m/>
    <m/>
    <m/>
    <m/>
    <m/>
    <d v="2016-06-01T00:00:00"/>
    <n v="3"/>
    <n v="453"/>
    <n v="0"/>
    <n v="0"/>
    <n v="0"/>
  </r>
  <r>
    <s v="VILLETANEUSE"/>
    <s v="VI-LEU-22"/>
    <s v="DEF-VI-LEU-20"/>
    <x v="22"/>
    <m/>
    <s v="QP093049"/>
    <m/>
    <s v="Diagnostic de vie locale"/>
    <m/>
    <s v="Habitat"/>
    <s v="Logement"/>
    <s v="France Habitation"/>
    <m/>
    <m/>
    <s v="X"/>
    <s v="Diagnostic du fonctionnement social urbain du site qui permettra d'alimenter tant le projet urbain que le projet de gestion et les actions d'accompagnement."/>
    <n v="30600"/>
    <n v="36720"/>
    <n v="30600"/>
    <n v="15300"/>
    <m/>
    <n v="0"/>
    <n v="0"/>
    <n v="15300"/>
    <m/>
    <n v="15300"/>
    <m/>
    <m/>
    <m/>
    <m/>
    <m/>
    <m/>
    <m/>
    <m/>
    <m/>
    <m/>
    <m/>
    <m/>
    <m/>
    <m/>
    <m/>
    <m/>
    <m/>
    <m/>
    <m/>
    <n v="0"/>
    <n v="0"/>
    <n v="0"/>
    <n v="0"/>
    <n v="0"/>
    <m/>
    <m/>
    <m/>
    <m/>
    <m/>
    <m/>
    <m/>
    <m/>
    <d v="2016-03-01T00:00:00"/>
    <n v="4"/>
    <n v="453"/>
    <n v="0"/>
    <n v="0"/>
    <n v="0"/>
  </r>
  <r>
    <s v="VILLETANEUSE"/>
    <s v="VI-LEU-24"/>
    <s v="DEF-VI-LEU-21"/>
    <x v="22"/>
    <s v="DDUS"/>
    <s v="QP093049"/>
    <m/>
    <s v="Etude urbaine pré-opérationnelle"/>
    <m/>
    <s v="Urbaine"/>
    <s v="Etudes stratégiques"/>
    <s v="Plaine Commune"/>
    <m/>
    <m/>
    <s v="X"/>
    <s v="Cette étude comprend les prestations de maîtrise d’œuvre urbaine permettant de préciser le projet urbain défini dans l’étude de faisabilité de 2014, de définir les scénarios retenus dans chacun des secteurs concernés par le NPNRU, et de chiffrer les opérations à inscrire à la future convention._x000d__x000a_Les prestataires en charge de ces missions devront travailler de manière itérative avec les autres études afin de se nourrir de leur travail._x000d__x000a_ _x000d__x000a_Plus que tous les autres prestataires, le maître d’œuvre urbain devra faire la synthèse des études pré-opérationnelles de manière à ce que le projet évolue en se nourrissant des différentes expertises mobilisées."/>
    <n v="115000"/>
    <n v="138000"/>
    <n v="115000"/>
    <n v="34000"/>
    <m/>
    <n v="0"/>
    <n v="28750"/>
    <n v="28750"/>
    <m/>
    <n v="11683"/>
    <m/>
    <m/>
    <m/>
    <m/>
    <m/>
    <m/>
    <n v="7877"/>
    <m/>
    <m/>
    <n v="9190"/>
    <m/>
    <m/>
    <m/>
    <m/>
    <m/>
    <m/>
    <m/>
    <m/>
    <m/>
    <n v="23500"/>
    <n v="0"/>
    <n v="0"/>
    <n v="0"/>
    <n v="0"/>
    <m/>
    <m/>
    <m/>
    <m/>
    <m/>
    <m/>
    <m/>
    <m/>
    <d v="2016-06-01T00:00:00"/>
    <n v="12"/>
    <n v="0"/>
    <n v="0"/>
    <n v="0"/>
    <n v="0"/>
  </r>
  <r>
    <s v="VILLETANEUSE"/>
    <s v="VI-LEU-37"/>
    <s v="DEF-VI-LEU-22"/>
    <x v="22"/>
    <m/>
    <s v="QP093049"/>
    <m/>
    <s v="Diagnostic du fonctionnement socio-urbain et des problématiques sociologiques  - cité Saint-Leu"/>
    <m/>
    <s v="Habitat"/>
    <s v="Logement"/>
    <s v="OGIF"/>
    <m/>
    <m/>
    <s v="X"/>
    <s v="Diagnostic qui permettra d'alimenter  le projet urbain,  les projets de gestion et  d'accompagnement."/>
    <n v="24150"/>
    <n v="28980"/>
    <n v="24150"/>
    <n v="7245"/>
    <s v="Demande suite à la RTP_x000d__x000a_A lancer après CE"/>
    <n v="0"/>
    <n v="0"/>
    <n v="16905"/>
    <m/>
    <m/>
    <m/>
    <m/>
    <m/>
    <m/>
    <m/>
    <m/>
    <m/>
    <m/>
    <m/>
    <n v="16905"/>
    <m/>
    <m/>
    <m/>
    <m/>
    <m/>
    <m/>
    <m/>
    <m/>
    <m/>
    <n v="0"/>
    <n v="0"/>
    <n v="0"/>
    <n v="0"/>
    <n v="0"/>
    <m/>
    <m/>
    <m/>
    <m/>
    <m/>
    <m/>
    <m/>
    <m/>
    <d v="2016-04-01T00:00:00"/>
    <n v="3"/>
    <m/>
    <m/>
    <n v="0"/>
    <n v="0"/>
  </r>
  <r>
    <s v="VILLETANEUSE"/>
    <s v="VI-LEU-38"/>
    <s v="DEF-VI-LEU-23"/>
    <x v="22"/>
    <m/>
    <m/>
    <m/>
    <s v="Eude de faisabilité Centre Nautique Villetaneuse"/>
    <s v="Urbaine"/>
    <s v="Equipements"/>
    <s v="Etudes stratégiques"/>
    <s v="Ville de Villetaneuse"/>
    <m/>
    <m/>
    <m/>
    <m/>
    <n v="172488"/>
    <n v="206986"/>
    <n v="172488"/>
    <s v="-"/>
    <s v="Nouvelle étude"/>
    <n v="172488"/>
    <n v="0"/>
    <n v="0"/>
    <n v="0"/>
    <n v="0"/>
    <m/>
    <n v="0"/>
    <n v="0"/>
    <n v="0"/>
    <m/>
    <m/>
    <m/>
    <m/>
    <m/>
    <m/>
    <m/>
    <m/>
    <m/>
    <m/>
    <m/>
    <m/>
    <m/>
    <m/>
    <m/>
    <m/>
    <m/>
    <m/>
    <m/>
    <m/>
    <m/>
    <m/>
    <m/>
    <m/>
    <m/>
    <m/>
    <m/>
    <m/>
    <m/>
    <m/>
    <m/>
    <m/>
    <n v="0"/>
    <m/>
  </r>
  <r>
    <s v="SAINT-OUEN"/>
    <s v="VSO-COR-08"/>
    <s v="DEF-VSO-COR-03"/>
    <x v="18"/>
    <m/>
    <s v="QP093046"/>
    <m/>
    <s v="Maison du projet - investissement"/>
    <m/>
    <s v="Accompagnement"/>
    <s v="Accompagnement"/>
    <s v="Ville de Saint Ouen"/>
    <m/>
    <m/>
    <s v="X"/>
    <m/>
    <n v="20000"/>
    <n v="24000"/>
    <n v="20000"/>
    <n v="0"/>
    <s v="Financement 100% ville de Saint-Ouen en compensation de l'étude urbaine"/>
    <n v="20000"/>
    <n v="0"/>
    <n v="0"/>
    <m/>
    <m/>
    <m/>
    <m/>
    <m/>
    <m/>
    <m/>
    <m/>
    <m/>
    <m/>
    <m/>
    <m/>
    <m/>
    <m/>
    <m/>
    <m/>
    <m/>
    <m/>
    <m/>
    <m/>
    <m/>
    <n v="0"/>
    <n v="0"/>
    <n v="0"/>
    <n v="0"/>
    <n v="0"/>
    <m/>
    <m/>
    <m/>
    <m/>
    <m/>
    <m/>
    <m/>
    <m/>
    <d v="2016-03-01T00:00:00"/>
    <n v="12"/>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4" minRefreshableVersion="3" useAutoFormatting="1" itemPrintTitles="1" createdVersion="4" indent="0" outline="1" outlineData="1" multipleFieldFilters="0">
  <location ref="A3:D27" firstHeaderRow="0" firstDataRow="1" firstDataCol="1"/>
  <pivotFields count="64">
    <pivotField showAll="0"/>
    <pivotField showAll="0"/>
    <pivotField showAll="0"/>
    <pivotField axis="axisRow" showAll="0" sortType="ascending">
      <items count="29">
        <item n="01 Emile Dubois / Maladrerie" x="0"/>
        <item n="02 Villette / 4 Chemins" x="2"/>
        <item n="03 Transverse AUBERVILLIERS" x="1"/>
        <item n="04 Les 4000" x="3"/>
        <item n="05 Orgemont" x="5"/>
        <item n="06 La Source" x="6"/>
        <item n="06 Transverse" m="1" x="24"/>
        <item n="07 Transverse EPINAY" x="7"/>
        <item n="08 St Ouen / Ile St Denis" x="16"/>
        <item n="09 Fauvettes / Joncherolles" x="9"/>
        <item n="10 Centre ville insalubrité et basilique" m="1" x="26"/>
        <item n="10 Lafargue / Parmentier" x="10"/>
        <item n="11 Franc Moisin" x="12"/>
        <item n="12 Floréal / Saussaie / Courtille" x="13"/>
        <item n="13 Centre ville Insalubrité et basilique" x="11"/>
        <item n="14 Transverse SAINT-DENIS" x="14"/>
        <item n="15 Clos Saint-Lazare" x="19"/>
        <item n="16 La Prêtresse" x="20"/>
        <item n="17 AMI -CLOS ET PRETRESSE" m="1" x="25"/>
        <item n="17 Transverse Stains" x="21"/>
        <item n="18 Saint-Leu" x="22"/>
        <item n="19 Quartiers Sud" x="8"/>
        <item n="20 Cordon" x="15"/>
        <item n="21 St Ouen " x="18"/>
        <item n="22 PRIR Rosiers Debain" x="17"/>
        <item n="23 PRIR Centre-Ville d'Epinay" x="4"/>
        <item m="1" x="23"/>
        <item m="1" x="2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dataField="1"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defaultSubtotal="0"/>
    <pivotField showAll="0" defaultSubtotal="0"/>
  </pivotFields>
  <rowFields count="1">
    <field x="3"/>
  </rowFields>
  <rowItems count="24">
    <i>
      <x/>
    </i>
    <i>
      <x v="1"/>
    </i>
    <i>
      <x v="2"/>
    </i>
    <i>
      <x v="3"/>
    </i>
    <i>
      <x v="4"/>
    </i>
    <i>
      <x v="5"/>
    </i>
    <i>
      <x v="7"/>
    </i>
    <i>
      <x v="8"/>
    </i>
    <i>
      <x v="9"/>
    </i>
    <i>
      <x v="11"/>
    </i>
    <i>
      <x v="12"/>
    </i>
    <i>
      <x v="13"/>
    </i>
    <i>
      <x v="14"/>
    </i>
    <i>
      <x v="15"/>
    </i>
    <i>
      <x v="16"/>
    </i>
    <i>
      <x v="17"/>
    </i>
    <i>
      <x v="19"/>
    </i>
    <i>
      <x v="20"/>
    </i>
    <i>
      <x v="21"/>
    </i>
    <i>
      <x v="22"/>
    </i>
    <i>
      <x v="23"/>
    </i>
    <i>
      <x v="24"/>
    </i>
    <i>
      <x v="25"/>
    </i>
    <i t="grand">
      <x/>
    </i>
  </rowItems>
  <colFields count="1">
    <field x="-2"/>
  </colFields>
  <colItems count="3">
    <i>
      <x/>
    </i>
    <i i="1">
      <x v="1"/>
    </i>
    <i i="2">
      <x v="2"/>
    </i>
  </colItems>
  <dataFields count="3">
    <dataField name="Somme de Coût HT" fld="16" baseField="0" baseItem="0"/>
    <dataField name="Somme de Subvention ANRU" fld="19" baseField="0" baseItem="0"/>
    <dataField name="Somme de CDC" fld="45" baseField="0" baseItem="0"/>
  </dataFields>
  <formats count="3">
    <format dxfId="291">
      <pivotArea type="all" dataOnly="0" outline="0" fieldPosition="0"/>
    </format>
    <format dxfId="290">
      <pivotArea collapsedLevelsAreSubtotals="1" fieldPosition="0">
        <references count="1">
          <reference field="3" count="1">
            <x v="25"/>
          </reference>
        </references>
      </pivotArea>
    </format>
    <format dxfId="289">
      <pivotArea dataOnly="0" labelOnly="1" fieldPosition="0">
        <references count="1">
          <reference field="3" count="1">
            <x v="2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eau14" displayName="Tableau14" ref="A1:AK19" totalsRowCount="1" headerRowDxfId="221" headerRowBorderDxfId="220" tableBorderDxfId="219" totalsRowBorderDxfId="218">
  <autoFilter ref="A1:AK18"/>
  <sortState ref="A2:V17">
    <sortCondition ref="C1:C18"/>
  </sortState>
  <tableColumns count="37">
    <tableColumn id="1" name="TF FINALISE" totalsRowLabel="Total" dataDxfId="217" totalsRowDxfId="100" dataCellStyle="Normal_Feuil1"/>
    <tableColumn id="7" name="DAS" dataDxfId="216" totalsRowDxfId="99" dataCellStyle="Normal_Feuil1"/>
    <tableColumn id="2" name="Code GEN" dataDxfId="215" totalsRowDxfId="98" dataCellStyle="Normal_Feuil1"/>
    <tableColumn id="3" name="Code fiche étude" dataDxfId="214" totalsRowDxfId="97" dataCellStyle="Normal_Feuil1"/>
    <tableColumn id="4" name="Libellé de l'opération" dataDxfId="213" totalsRowDxfId="96" dataCellStyle="Normal_Feuil1"/>
    <tableColumn id="5" name="Typologie" dataDxfId="212" totalsRowDxfId="95" dataCellStyle="Normal_Feuil1"/>
    <tableColumn id="6" name="Maître d'ouvrage et responsable de l'étude" dataDxfId="211" totalsRowDxfId="94" dataCellStyle="Normal_Feuil1"/>
    <tableColumn id="10" name="cout HT" totalsRowFunction="sum" dataDxfId="210" totalsRowDxfId="93" dataCellStyle="Milliers"/>
    <tableColumn id="11" name="cout TTC" totalsRowFunction="sum" dataDxfId="209" totalsRowDxfId="92" dataCellStyle="Milliers"/>
    <tableColumn id="12" name="Base de financement" totalsRowFunction="sum" dataDxfId="208" totalsRowDxfId="91" dataCellStyle="Milliers"/>
    <tableColumn id="13" name="Subvention ANRU (total des lignes)" totalsRowFunction="sum" dataDxfId="207" totalsRowDxfId="90" dataCellStyle="Milliers"/>
    <tableColumn id="14" name="Commentaire (mode de calcul, subvention, …)" dataDxfId="206" totalsRowDxfId="89" dataCellStyle="Milliers"/>
    <tableColumn id="15" name="Villes" totalsRowFunction="sum" dataDxfId="205" totalsRowDxfId="88" dataCellStyle="Milliers"/>
    <tableColumn id="16" name="Plaine Commune" totalsRowFunction="sum" dataDxfId="204" totalsRowDxfId="87" dataCellStyle="Milliers"/>
    <tableColumn id="17" name="Bailleurs" totalsRowFunction="sum" dataDxfId="203" totalsRowDxfId="86" dataCellStyle="Milliers"/>
    <tableColumn id="26" name="LOGIREP" totalsRowFunction="sum" dataDxfId="202" totalsRowDxfId="85" dataCellStyle="Milliers"/>
    <tableColumn id="40" name="SOHP" totalsRowFunction="sum" dataDxfId="201" totalsRowDxfId="84" dataCellStyle="Milliers"/>
    <tableColumn id="39" name="SEMISO" totalsRowFunction="sum" dataDxfId="200" totalsRowDxfId="83" dataCellStyle="Milliers"/>
    <tableColumn id="38" name="OPH93" totalsRowFunction="sum" dataDxfId="199" totalsRowDxfId="82" dataCellStyle="Milliers"/>
    <tableColumn id="37" name="PCH" totalsRowFunction="sum" dataDxfId="198" totalsRowDxfId="81" dataCellStyle="Milliers"/>
    <tableColumn id="36" name="ICF la Sablière" totalsRowFunction="sum" dataDxfId="197" totalsRowDxfId="80" dataCellStyle="Milliers"/>
    <tableColumn id="35" name="SARVILEP" totalsRowFunction="sum" dataDxfId="196" totalsRowDxfId="79" dataCellStyle="Milliers"/>
    <tableColumn id="34" name="OPIEVOY" totalsRowFunction="sum" dataDxfId="195" totalsRowDxfId="78" dataCellStyle="Milliers"/>
    <tableColumn id="33" name="SAIEM" totalsRowFunction="sum" dataDxfId="194" totalsRowDxfId="77" dataCellStyle="Milliers"/>
    <tableColumn id="32" name="Maison du CIL" totalsRowFunction="sum" dataDxfId="193" totalsRowDxfId="76" dataCellStyle="Milliers"/>
    <tableColumn id="31" name="NOVIGERE" totalsRowFunction="sum" dataDxfId="192" totalsRowDxfId="75" dataCellStyle="Milliers"/>
    <tableColumn id="30" name="Logement Francilien" totalsRowFunction="sum" dataDxfId="191" totalsRowDxfId="74" dataCellStyle="Milliers"/>
    <tableColumn id="29" name="ANTIN" totalsRowFunction="sum" dataDxfId="190" totalsRowDxfId="73" dataCellStyle="Milliers"/>
    <tableColumn id="28" name="OGIF" totalsRowFunction="sum" dataDxfId="189" totalsRowDxfId="72" dataCellStyle="Milliers"/>
    <tableColumn id="27" name="Toit et Joie" totalsRowFunction="sum" dataDxfId="188" totalsRowDxfId="71" dataCellStyle="Milliers"/>
    <tableColumn id="9" name="France Habitation" totalsRowFunction="sum" dataDxfId="187" totalsRowDxfId="70" dataCellStyle="Milliers"/>
    <tableColumn id="18" name="CDC" totalsRowFunction="sum" dataDxfId="186" totalsRowDxfId="69" dataCellStyle="Milliers"/>
    <tableColumn id="22" name="Autres" totalsRowFunction="sum" dataDxfId="185" totalsRowDxfId="68" dataCellStyle="Milliers"/>
    <tableColumn id="19" name="CRIF" dataDxfId="184" totalsRowDxfId="67" dataCellStyle="Milliers"/>
    <tableColumn id="8" name="ADEME" totalsRowFunction="sum" dataDxfId="183" totalsRowDxfId="66" dataCellStyle="Milliers"/>
    <tableColumn id="23" name="Date de démarrage (mois et année)" dataDxfId="182" totalsRowDxfId="65" dataCellStyle="Normal_Feuil1"/>
    <tableColumn id="24" name="Durée de l'opération en mois" totalsRowFunction="sum" dataDxfId="181" totalsRowDxfId="64" dataCellStyle="Normal_Feuil1"/>
  </tableColumns>
  <tableStyleInfo name="TableStyleMedium9" showFirstColumn="0" showLastColumn="0" showRowStripes="1" showColumnStripes="0"/>
</table>
</file>

<file path=xl/tables/table2.xml><?xml version="1.0" encoding="utf-8"?>
<table xmlns="http://schemas.openxmlformats.org/spreadsheetml/2006/main" id="1" name="Tableau1" displayName="Tableau1" ref="A1:BL215" totalsRowCount="1" headerRowDxfId="288" dataDxfId="287" totalsRowDxfId="286">
  <autoFilter ref="A1:BL214">
    <filterColumn colId="11">
      <filters>
        <filter val="Plaine Commune"/>
      </filters>
    </filterColumn>
  </autoFilter>
  <tableColumns count="64">
    <tableColumn id="1" name="Communes" totalsRowLabel="Total" dataDxfId="285" totalsRowDxfId="63"/>
    <tableColumn id="2" name="Code fiche étude" dataDxfId="284" totalsRowDxfId="62"/>
    <tableColumn id="3" name="TF Finalisé" dataDxfId="283" totalsRowDxfId="61"/>
    <tableColumn id="4" name="Quartier" dataDxfId="282" totalsRowDxfId="60"/>
    <tableColumn id="5" name="DAS" dataDxfId="281" totalsRowDxfId="59"/>
    <tableColumn id="6" name="code QPV" dataDxfId="280" totalsRowDxfId="58"/>
    <tableColumn id="7" name="RE_Code GEN" dataDxfId="279" totalsRowDxfId="57"/>
    <tableColumn id="8" name="Libellé de l'opération" dataDxfId="278" totalsRowDxfId="56"/>
    <tableColumn id="9" name="TF_Libellé de l'opération" dataDxfId="277" totalsRowDxfId="55"/>
    <tableColumn id="10" name="Typologie" dataDxfId="276" totalsRowDxfId="54"/>
    <tableColumn id="11" name="Typologie DRIHL" dataDxfId="275" totalsRowDxfId="53"/>
    <tableColumn id="12" name="Maître d'ouvrage et responsable de l'étude" dataDxfId="274" totalsRowDxfId="52"/>
    <tableColumn id="13" name="Pilotes" dataDxfId="273" totalsRowDxfId="51"/>
    <tableColumn id="14" name="Fonctionnement" dataDxfId="272" totalsRowDxfId="50"/>
    <tableColumn id="15" name="Investissement" dataDxfId="271" totalsRowDxfId="49"/>
    <tableColumn id="16" name="Descriptif" dataDxfId="270" totalsRowDxfId="48"/>
    <tableColumn id="17" name="Coût HT" totalsRowFunction="sum" dataDxfId="269" totalsRowDxfId="47" dataCellStyle="Milliers"/>
    <tableColumn id="18" name="Coût TTC" totalsRowFunction="sum" dataDxfId="268" totalsRowDxfId="46" dataCellStyle="Milliers"/>
    <tableColumn id="19" name="Base de financement" totalsRowFunction="sum" dataDxfId="267" totalsRowDxfId="45" dataCellStyle="Milliers"/>
    <tableColumn id="20" name="Subvention ANRU" totalsRowFunction="sum" dataDxfId="266" totalsRowDxfId="44" dataCellStyle="Milliers"/>
    <tableColumn id="21" name="Commentaire (mode de calcul, subvention, …)" dataDxfId="265" totalsRowDxfId="43" dataCellStyle="Milliers"/>
    <tableColumn id="22" name="Ville" totalsRowFunction="sum" dataDxfId="264" totalsRowDxfId="42" dataCellStyle="Milliers"/>
    <tableColumn id="23" name="Plaine Commune" totalsRowFunction="sum" dataDxfId="263" totalsRowDxfId="41" dataCellStyle="Milliers"/>
    <tableColumn id="24" name="Bailleurs" totalsRowFunction="sum" dataDxfId="262" totalsRowDxfId="40" dataCellStyle="Milliers"/>
    <tableColumn id="37" name="SARVILEP" totalsRowFunction="sum" dataDxfId="261" totalsRowDxfId="39" dataCellStyle="Milliers"/>
    <tableColumn id="53" name="France Habitation" totalsRowFunction="sum" dataDxfId="260" totalsRowDxfId="38" dataCellStyle="Milliers"/>
    <tableColumn id="45" name="SEMISO" totalsRowFunction="sum" dataDxfId="259" totalsRowDxfId="37" dataCellStyle="Milliers"/>
    <tableColumn id="52" name="SOHP" totalsRowFunction="sum" dataDxfId="258" totalsRowDxfId="36" dataCellStyle="Milliers"/>
    <tableColumn id="51" name="OSICA" totalsRowFunction="sum" dataDxfId="257" totalsRowDxfId="35" dataCellStyle="Milliers"/>
    <tableColumn id="50" name="Logirep" totalsRowFunction="sum" dataDxfId="256" totalsRowDxfId="34" dataCellStyle="Milliers"/>
    <tableColumn id="49" name="Toit et Joie " totalsRowFunction="sum" dataDxfId="255" totalsRowDxfId="33" dataCellStyle="Milliers"/>
    <tableColumn id="48" name="Antin Résidences" totalsRowFunction="sum" dataDxfId="254" totalsRowDxfId="32" dataCellStyle="Milliers"/>
    <tableColumn id="47" name="OPH93" totalsRowFunction="sum" dataDxfId="253" totalsRowDxfId="31" dataCellStyle="Milliers"/>
    <tableColumn id="46" name="PCH" totalsRowFunction="sum" dataDxfId="252" totalsRowDxfId="30" dataCellStyle="Milliers"/>
    <tableColumn id="44" name="Logement Francilien" totalsRowFunction="sum" dataDxfId="251" totalsRowDxfId="29" dataCellStyle="Milliers"/>
    <tableColumn id="43" name="OGIF" totalsRowFunction="sum" dataDxfId="250" totalsRowDxfId="28" dataCellStyle="Milliers"/>
    <tableColumn id="42" name="ICF La Sablière" totalsRowFunction="sum" dataDxfId="249" totalsRowDxfId="27" dataCellStyle="Milliers"/>
    <tableColumn id="41" name="NOVIGERE" totalsRowFunction="sum" dataDxfId="248" totalsRowDxfId="26" dataCellStyle="Milliers"/>
    <tableColumn id="40" name="Maison du CIL" totalsRowFunction="sum" dataDxfId="247" totalsRowDxfId="25" dataCellStyle="Milliers"/>
    <tableColumn id="39" name="ASL d'orgemont" totalsRowFunction="sum" dataDxfId="246" totalsRowDxfId="24" dataCellStyle="Milliers"/>
    <tableColumn id="38" name="OPIEVOY" totalsRowFunction="sum" dataDxfId="245" totalsRowDxfId="23" dataCellStyle="Milliers"/>
    <tableColumn id="54" name="SAIEM" totalsRowFunction="sum" dataDxfId="244" totalsRowDxfId="22" dataCellStyle="Milliers"/>
    <tableColumn id="34" name="OPH Aubervilliers" totalsRowFunction="sum" dataDxfId="243" totalsRowDxfId="21" dataCellStyle="Milliers">
      <calculatedColumnFormula>Tableau1[[#This Row],[Bailleurs]]</calculatedColumnFormula>
    </tableColumn>
    <tableColumn id="35" name="RIVP" totalsRowFunction="sum" dataDxfId="242" totalsRowDxfId="20" dataCellStyle="Milliers">
      <calculatedColumnFormula>10000</calculatedColumnFormula>
    </tableColumn>
    <tableColumn id="36" name="ADOMA" totalsRowFunction="sum" dataDxfId="241" totalsRowDxfId="19" dataCellStyle="Milliers"/>
    <tableColumn id="25" name="CDC" totalsRowFunction="sum" dataDxfId="240" totalsRowDxfId="18" dataCellStyle="Milliers"/>
    <tableColumn id="26" name="CD93" totalsRowFunction="sum" dataDxfId="239" totalsRowDxfId="17" dataCellStyle="Milliers"/>
    <tableColumn id="27" name="CRIF" totalsRowFunction="sum" dataDxfId="238" totalsRowDxfId="16" dataCellStyle="Milliers"/>
    <tableColumn id="28" name="Europe" totalsRowFunction="sum" dataDxfId="237" totalsRowDxfId="15" dataCellStyle="Milliers"/>
    <tableColumn id="29" name="Autres" totalsRowFunction="sum" dataDxfId="236" totalsRowDxfId="14" dataCellStyle="Milliers"/>
    <tableColumn id="55" name="ANAH" totalsRowFunction="sum" dataDxfId="235" totalsRowDxfId="13" dataCellStyle="Milliers"/>
    <tableColumn id="62" name="Syndicat Mixte des Réseaux D'énergies Calorifiques" totalsRowFunction="sum" dataDxfId="234" totalsRowDxfId="12"/>
    <tableColumn id="61" name="SEM PCD" totalsRowFunction="sum" dataDxfId="233" totalsRowDxfId="11"/>
    <tableColumn id="57" name="ASGO" totalsRowFunction="sum" dataDxfId="232" totalsRowDxfId="10"/>
    <tableColumn id="63" name="Ville de Pantin " totalsRowFunction="sum" dataDxfId="231" totalsRowDxfId="9"/>
    <tableColumn id="64" name="Est-Ensemble " totalsRowFunction="sum" dataDxfId="230" totalsRowDxfId="8"/>
    <tableColumn id="58" name="ADEME" totalsRowFunction="sum" dataDxfId="229" totalsRowDxfId="7" dataCellStyle="Milliers"/>
    <tableColumn id="56" name="PIA" totalsRowFunction="sum" dataDxfId="228" totalsRowDxfId="6" dataCellStyle="Milliers"/>
    <tableColumn id="30" name="Date de démarrage (mois et année)" dataDxfId="227" totalsRowDxfId="5"/>
    <tableColumn id="31" name="Durée de l'opération en mois" dataDxfId="226" totalsRowDxfId="4"/>
    <tableColumn id="32" name="Nbre de logements" dataDxfId="225" totalsRowDxfId="3"/>
    <tableColumn id="33" name="Nbre de chambres" totalsRowFunction="sum" dataDxfId="224" totalsRowDxfId="2"/>
    <tableColumn id="59" name="checkbleu" dataDxfId="223" totalsRowDxfId="1">
      <calculatedColumnFormula>Tableau1[[#This Row],[Base de financement]]-Tableau1[[#This Row],[Subvention ANRU]]-Tableau1[[#This Row],[Ville]]-Tableau1[[#This Row],[Plaine Commune]]-Tableau1[[#This Row],[Bailleurs]]-Tableau1[[#This Row],[CDC]]-Tableau1[[#This Row],[CD93]]-Tableau1[[#This Row],[CRIF]]-Tableau1[[#This Row],[Europe]]-Tableau1[[#This Row],[Autres]]</calculatedColumnFormula>
    </tableColumn>
    <tableColumn id="60" name="check rouge" dataDxfId="222" totalsRowDxfId="0">
      <calculatedColumnFormula>S2-T2-V2-W2-Y2-Z2-AA2-AB2-AC2-AD2-AE2-AF2-AG2-AH2-AI2-AJ2-AK2-AL2-AM2-AN2-AO2-AP2-AQ2-AR2-AS2-AT2-AU2-AV2-AW2-AY2-BE2-BF2-Tableau1[[#This Row],[Ville de Pantin ]]-Tableau1[[#This Row],[Est-Ensemble ]]-Tableau1[[#This Row],[ASGO]]</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2" name="Tableau13" displayName="Tableau13" ref="A1:BA106" totalsRowCount="1" headerRowDxfId="180" totalsRowDxfId="177" headerRowBorderDxfId="179" tableBorderDxfId="178">
  <autoFilter ref="A1:BA105"/>
  <sortState ref="A2:AW109">
    <sortCondition ref="B1:B109"/>
  </sortState>
  <tableColumns count="53">
    <tableColumn id="1" name="Communes" totalsRowLabel="Total" totalsRowDxfId="176"/>
    <tableColumn id="2" name="code étude GEN " totalsRowDxfId="175"/>
    <tableColumn id="3" name=" code fiche étude " totalsRowDxfId="174"/>
    <tableColumn id="4" name="Libellé de l'opération" totalsRowDxfId="173"/>
    <tableColumn id="53" name="2016" dataDxfId="172" totalsRowDxfId="171"/>
    <tableColumn id="52" name="2017" dataDxfId="170" totalsRowDxfId="169"/>
    <tableColumn id="35" name="2018" dataDxfId="168" totalsRowDxfId="167"/>
    <tableColumn id="5" name="Typologie" dataDxfId="166" totalsRowDxfId="165"/>
    <tableColumn id="7" name="nature de dépense " dataDxfId="164" totalsRowDxfId="163"/>
    <tableColumn id="6" name="service concerné" totalsRowDxfId="162"/>
    <tableColumn id="10" name="Coût HT" totalsRowFunction="sum" totalsRowDxfId="161" dataCellStyle="Milliers"/>
    <tableColumn id="11" name="TVA" totalsRowDxfId="160" dataCellStyle="Pourcentage"/>
    <tableColumn id="12" name="Coût TTC" totalsRowFunction="sum" totalsRowDxfId="159"/>
    <tableColumn id="13" name="Base de financement" totalsRowFunction="sum" totalsRowDxfId="158"/>
    <tableColumn id="14" name="Subvention ANRU" totalsRowFunction="sum" totalsRowDxfId="157"/>
    <tableColumn id="15" name="Taux de subvention ANRU" totalsRowDxfId="156" dataCellStyle="Pourcentage"/>
    <tableColumn id="16" name="Commentaire (mode de calcul, subvention, …)" totalsRowDxfId="155"/>
    <tableColumn id="17" name="Ville" totalsRowDxfId="154"/>
    <tableColumn id="18" name="%" totalsRowDxfId="153"/>
    <tableColumn id="19" name="Plaine Commune" totalsRowFunction="sum" totalsRowDxfId="152"/>
    <tableColumn id="20" name="%2" totalsRowDxfId="151"/>
    <tableColumn id="21" name="Bailleurs" totalsRowFunction="sum" totalsRowDxfId="150"/>
    <tableColumn id="36" name="LOGIREP" totalsRowFunction="sum" dataDxfId="149" totalsRowDxfId="148">
      <calculatedColumnFormula>Tableau13[[#This Row],[Subvention ANRU]]*12.5%</calculatedColumnFormula>
    </tableColumn>
    <tableColumn id="42" name="SOHP" totalsRowFunction="sum" dataDxfId="147" totalsRowDxfId="146"/>
    <tableColumn id="43" name="SEMISO" totalsRowFunction="sum" dataDxfId="145" totalsRowDxfId="144"/>
    <tableColumn id="37" name="OPH93" totalsRowFunction="sum" dataDxfId="143" totalsRowDxfId="142"/>
    <tableColumn id="9" name="PCH" totalsRowFunction="sum" dataDxfId="141" totalsRowDxfId="140">
      <calculatedColumnFormula>Tableau13[[#This Row],[Bailleurs]]*12.5%</calculatedColumnFormula>
    </tableColumn>
    <tableColumn id="44" name="ICF la Sablière" totalsRowFunction="sum" dataDxfId="139" totalsRowDxfId="138"/>
    <tableColumn id="45" name="SARVILEP" totalsRowFunction="sum" dataDxfId="137" totalsRowDxfId="136"/>
    <tableColumn id="46" name="OPIEVOY" totalsRowFunction="sum" dataDxfId="135" totalsRowDxfId="134"/>
    <tableColumn id="47" name="SAIEM" totalsRowFunction="sum" dataDxfId="133" totalsRowDxfId="132"/>
    <tableColumn id="48" name="Maison du CIL" totalsRowFunction="sum" dataDxfId="131" totalsRowDxfId="130"/>
    <tableColumn id="50" name="NOVIGERE" totalsRowFunction="sum" dataDxfId="129" totalsRowDxfId="128"/>
    <tableColumn id="49" name="Logement Francilien" totalsRowFunction="sum" dataDxfId="127" totalsRowDxfId="126"/>
    <tableColumn id="40" name="ANTIN" totalsRowFunction="sum" dataDxfId="125" totalsRowDxfId="124"/>
    <tableColumn id="8" name="OGIF" totalsRowFunction="sum" dataDxfId="123" totalsRowDxfId="122"/>
    <tableColumn id="39" name="Toit et Joie" totalsRowFunction="sum" dataDxfId="121" totalsRowDxfId="120"/>
    <tableColumn id="38" name="France Habitation" totalsRowFunction="sum" dataDxfId="119" totalsRowDxfId="118"/>
    <tableColumn id="22" name="%3" totalsRowFunction="sum" totalsRowDxfId="117"/>
    <tableColumn id="23" name="CDC" totalsRowFunction="sum" totalsRowDxfId="116"/>
    <tableColumn id="24" name="%4" totalsRowDxfId="115"/>
    <tableColumn id="25" name="CD93" totalsRowDxfId="114"/>
    <tableColumn id="26" name="%5" totalsRowDxfId="113"/>
    <tableColumn id="27" name="CRIF" totalsRowDxfId="112"/>
    <tableColumn id="28" name="%6" totalsRowDxfId="111"/>
    <tableColumn id="29" name="Europe" totalsRowDxfId="110"/>
    <tableColumn id="30" name="%7" totalsRowDxfId="109"/>
    <tableColumn id="31" name="Autres" totalsRowDxfId="108" dataCellStyle="Pourcentage"/>
    <tableColumn id="32" name="%8" totalsRowDxfId="107"/>
    <tableColumn id="33" name="Date de démarrage (mois et année)" totalsRowDxfId="106"/>
    <tableColumn id="34" name="Durée de l'opération en mois" totalsRowDxfId="105"/>
    <tableColumn id="51" name="check rouge" dataDxfId="104" totalsRowDxfId="103">
      <calculatedColumnFormula>Tableau13[[#This Row],[Bailleurs]]-SUM(Tableau13[[#This Row],[LOGIREP]:[France Habitation]])</calculatedColumnFormula>
    </tableColumn>
    <tableColumn id="41" name="Check bleu " dataDxfId="102" totalsRowDxfId="101">
      <calculatedColumnFormula>Tableau13[[#This Row],[Base de financement]]-Tableau13[[#This Row],[Subvention ANRU]]-Tableau13[[#This Row],[Ville]]-Tableau13[[#This Row],[Plaine Commune]]-Tableau13[[#This Row],[Bailleurs]]-Tableau13[[#This Row],[CDC]]-Tableau13[[#This Row],[Autres]]</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9"/>
  <sheetViews>
    <sheetView workbookViewId="0">
      <selection activeCell="B18" sqref="B18"/>
    </sheetView>
  </sheetViews>
  <sheetFormatPr baseColWidth="10" defaultRowHeight="15" x14ac:dyDescent="0.25"/>
  <cols>
    <col min="1" max="1" width="36.7109375" customWidth="1"/>
    <col min="2" max="2" width="19.28515625" customWidth="1"/>
    <col min="3" max="3" width="28.5703125" customWidth="1"/>
    <col min="4" max="4" width="15.85546875" bestFit="1" customWidth="1"/>
    <col min="5" max="5" width="4.28515625" customWidth="1"/>
    <col min="6" max="6" width="38.7109375" customWidth="1"/>
    <col min="7" max="7" width="22.42578125" customWidth="1"/>
    <col min="8" max="8" width="19.140625" customWidth="1"/>
    <col min="9" max="9" width="16.85546875" customWidth="1"/>
    <col min="10" max="10" width="35" customWidth="1"/>
    <col min="11" max="17" width="6" customWidth="1"/>
    <col min="18" max="18" width="12" bestFit="1" customWidth="1"/>
    <col min="19" max="23" width="6" customWidth="1"/>
    <col min="24" max="24" width="12" bestFit="1" customWidth="1"/>
    <col min="25" max="28" width="6" customWidth="1"/>
    <col min="29" max="29" width="12" bestFit="1" customWidth="1"/>
    <col min="30" max="65" width="6" customWidth="1"/>
    <col min="66" max="91" width="7" customWidth="1"/>
    <col min="92" max="92" width="6.28515625" customWidth="1"/>
    <col min="93" max="93" width="12.5703125" bestFit="1" customWidth="1"/>
  </cols>
  <sheetData>
    <row r="2" spans="1:10" ht="15.75" thickBot="1" x14ac:dyDescent="0.3"/>
    <row r="3" spans="1:10" ht="15.75" thickBot="1" x14ac:dyDescent="0.3">
      <c r="A3" s="2" t="s">
        <v>765</v>
      </c>
      <c r="B3" s="1" t="s">
        <v>767</v>
      </c>
      <c r="C3" s="1" t="s">
        <v>768</v>
      </c>
      <c r="D3" s="1" t="s">
        <v>769</v>
      </c>
      <c r="E3" s="1"/>
      <c r="F3" s="219" t="s">
        <v>1060</v>
      </c>
      <c r="G3" s="214" t="s">
        <v>1050</v>
      </c>
      <c r="H3" s="215" t="s">
        <v>1047</v>
      </c>
      <c r="I3" s="215" t="s">
        <v>1048</v>
      </c>
      <c r="J3" s="216" t="s">
        <v>1053</v>
      </c>
    </row>
    <row r="4" spans="1:10" x14ac:dyDescent="0.25">
      <c r="A4" s="3" t="s">
        <v>770</v>
      </c>
      <c r="B4" s="1">
        <v>927428</v>
      </c>
      <c r="C4" s="1">
        <v>398734</v>
      </c>
      <c r="D4" s="1">
        <v>23331</v>
      </c>
      <c r="E4" s="1"/>
      <c r="F4" s="502" t="s">
        <v>1052</v>
      </c>
      <c r="G4" s="220"/>
      <c r="H4" s="211"/>
      <c r="I4" s="212"/>
      <c r="J4" s="213"/>
    </row>
    <row r="5" spans="1:10" x14ac:dyDescent="0.25">
      <c r="A5" s="3" t="s">
        <v>771</v>
      </c>
      <c r="B5" s="1">
        <v>693446</v>
      </c>
      <c r="C5" s="1">
        <v>253723</v>
      </c>
      <c r="D5" s="1">
        <v>73000</v>
      </c>
      <c r="E5" s="1"/>
      <c r="F5" s="503"/>
      <c r="G5" s="221"/>
      <c r="H5" s="63"/>
      <c r="I5" s="207"/>
      <c r="J5" s="201"/>
    </row>
    <row r="6" spans="1:10" x14ac:dyDescent="0.25">
      <c r="A6" s="3" t="s">
        <v>1025</v>
      </c>
      <c r="B6" s="1">
        <v>574334</v>
      </c>
      <c r="C6" s="1">
        <v>273000.21999999997</v>
      </c>
      <c r="D6" s="1">
        <v>0</v>
      </c>
      <c r="E6" s="1"/>
      <c r="F6" s="503"/>
      <c r="G6" s="222">
        <f>GETPIVOTDATA("Somme de Subvention ANRU",$A$3,"Quartier","01 Emile Dubois / Maladrerie")+GETPIVOTDATA("Somme de Subvention ANRU",$A$3,"Quartier","02 Villette / 4 Chemins")+GETPIVOTDATA("Somme de Subvention ANRU",$A$3,"Quartier","03 Transverse AUBERVILLIERS")</f>
        <v>925457.22</v>
      </c>
      <c r="H6" s="131">
        <f>614234+356223</f>
        <v>970457</v>
      </c>
      <c r="I6" s="208">
        <f>H6-G6</f>
        <v>44999.780000000028</v>
      </c>
      <c r="J6" s="201" t="s">
        <v>1049</v>
      </c>
    </row>
    <row r="7" spans="1:10" x14ac:dyDescent="0.25">
      <c r="A7" s="3" t="s">
        <v>1026</v>
      </c>
      <c r="B7" s="1">
        <v>969765</v>
      </c>
      <c r="C7" s="1">
        <v>479883</v>
      </c>
      <c r="D7" s="1">
        <v>5000</v>
      </c>
      <c r="E7" s="1"/>
      <c r="F7" s="224" t="s">
        <v>1026</v>
      </c>
      <c r="G7" s="223">
        <f>GETPIVOTDATA("Somme de Subvention ANRU",$A$3,"Quartier","04 Les 4000")</f>
        <v>479883</v>
      </c>
      <c r="H7" s="217">
        <f>479883</f>
        <v>479883</v>
      </c>
      <c r="I7" s="207" t="s">
        <v>1051</v>
      </c>
      <c r="J7" s="201"/>
    </row>
    <row r="8" spans="1:10" x14ac:dyDescent="0.25">
      <c r="A8" s="3" t="s">
        <v>1027</v>
      </c>
      <c r="B8" s="1">
        <v>1930243</v>
      </c>
      <c r="C8" s="1">
        <v>668254</v>
      </c>
      <c r="D8" s="1">
        <v>0</v>
      </c>
      <c r="E8" s="1"/>
      <c r="F8" s="224" t="s">
        <v>1027</v>
      </c>
      <c r="G8" s="223">
        <f>GETPIVOTDATA("Somme de Subvention ANRU",$A$3,"Quartier","05 Orgemont")</f>
        <v>668254</v>
      </c>
      <c r="H8" s="217">
        <v>793254</v>
      </c>
      <c r="I8" s="501" t="s">
        <v>1051</v>
      </c>
      <c r="J8" s="201"/>
    </row>
    <row r="9" spans="1:10" x14ac:dyDescent="0.25">
      <c r="A9" s="3" t="s">
        <v>1028</v>
      </c>
      <c r="B9" s="1">
        <v>532218</v>
      </c>
      <c r="C9" s="1">
        <v>237655</v>
      </c>
      <c r="D9" s="1">
        <v>0</v>
      </c>
      <c r="E9" s="1"/>
      <c r="F9" s="224" t="s">
        <v>1028</v>
      </c>
      <c r="G9" s="223">
        <f>GETPIVOTDATA("Somme de Subvention ANRU",$A$3,"Quartier","06 La Source")</f>
        <v>237655</v>
      </c>
      <c r="H9" s="217">
        <v>312655</v>
      </c>
      <c r="I9" s="501"/>
      <c r="J9" s="201"/>
    </row>
    <row r="10" spans="1:10" x14ac:dyDescent="0.25">
      <c r="A10" s="3" t="s">
        <v>1029</v>
      </c>
      <c r="B10" s="1">
        <v>805000</v>
      </c>
      <c r="C10" s="1">
        <v>355000</v>
      </c>
      <c r="D10" s="1">
        <v>47500</v>
      </c>
      <c r="E10" s="1"/>
      <c r="F10" s="224" t="s">
        <v>1029</v>
      </c>
      <c r="G10" s="223">
        <f>GETPIVOTDATA("Somme de Subvention ANRU",$A$3,"Quartier","07 Transverse EPINAY")</f>
        <v>355000</v>
      </c>
      <c r="H10" s="217">
        <v>155000</v>
      </c>
      <c r="I10" s="501"/>
      <c r="J10" s="201"/>
    </row>
    <row r="11" spans="1:10" ht="13.5" customHeight="1" x14ac:dyDescent="0.25">
      <c r="A11" s="3" t="s">
        <v>1030</v>
      </c>
      <c r="B11" s="1">
        <v>1253000</v>
      </c>
      <c r="C11" s="1">
        <v>576500</v>
      </c>
      <c r="D11" s="1">
        <v>50000</v>
      </c>
      <c r="E11" s="1"/>
      <c r="F11" s="225" t="s">
        <v>1030</v>
      </c>
      <c r="G11" s="222">
        <v>619000</v>
      </c>
      <c r="H11" s="131">
        <v>662500</v>
      </c>
      <c r="I11" s="208">
        <f>H11-G11</f>
        <v>43500</v>
      </c>
      <c r="J11" s="202" t="s">
        <v>1054</v>
      </c>
    </row>
    <row r="12" spans="1:10" x14ac:dyDescent="0.25">
      <c r="A12" s="3" t="s">
        <v>1031</v>
      </c>
      <c r="B12" s="1">
        <v>305000</v>
      </c>
      <c r="C12" s="1">
        <v>110500</v>
      </c>
      <c r="D12" s="1">
        <v>14000</v>
      </c>
      <c r="E12" s="1"/>
      <c r="F12" s="224" t="s">
        <v>1031</v>
      </c>
      <c r="G12" s="223">
        <f>GETPIVOTDATA("Somme de Subvention ANRU",$A$3,"Quartier","09 Fauvettes / Joncherolles")</f>
        <v>110500</v>
      </c>
      <c r="H12" s="217">
        <v>110500</v>
      </c>
      <c r="I12" s="207" t="s">
        <v>1051</v>
      </c>
      <c r="J12" s="201"/>
    </row>
    <row r="13" spans="1:10" x14ac:dyDescent="0.25">
      <c r="A13" s="3" t="s">
        <v>1032</v>
      </c>
      <c r="B13" s="1">
        <v>7500</v>
      </c>
      <c r="C13" s="1">
        <v>0</v>
      </c>
      <c r="D13" s="1">
        <v>1500</v>
      </c>
      <c r="E13" s="1"/>
      <c r="F13" s="225" t="s">
        <v>1032</v>
      </c>
      <c r="G13" s="222">
        <v>0</v>
      </c>
      <c r="H13" s="131">
        <v>31000</v>
      </c>
      <c r="I13" s="209">
        <v>31000</v>
      </c>
      <c r="J13" s="201" t="s">
        <v>1055</v>
      </c>
    </row>
    <row r="14" spans="1:10" x14ac:dyDescent="0.25">
      <c r="A14" s="3" t="s">
        <v>772</v>
      </c>
      <c r="B14" s="1">
        <v>486500</v>
      </c>
      <c r="C14" s="1">
        <v>221250</v>
      </c>
      <c r="D14" s="1">
        <v>22000</v>
      </c>
      <c r="E14" s="1"/>
      <c r="F14" s="504" t="s">
        <v>1056</v>
      </c>
      <c r="G14" s="222"/>
      <c r="H14" s="131"/>
      <c r="I14" s="207"/>
      <c r="J14" s="201"/>
    </row>
    <row r="15" spans="1:10" x14ac:dyDescent="0.25">
      <c r="A15" s="3" t="s">
        <v>773</v>
      </c>
      <c r="B15" s="1">
        <v>110000</v>
      </c>
      <c r="C15" s="1">
        <v>47000</v>
      </c>
      <c r="D15" s="1">
        <v>8000</v>
      </c>
      <c r="E15" s="1"/>
      <c r="F15" s="504"/>
      <c r="G15" s="222"/>
      <c r="H15" s="131"/>
      <c r="I15" s="207"/>
      <c r="J15" s="201"/>
    </row>
    <row r="16" spans="1:10" ht="14.25" customHeight="1" x14ac:dyDescent="0.25">
      <c r="A16" s="3" t="s">
        <v>1033</v>
      </c>
      <c r="B16" s="1">
        <v>340403</v>
      </c>
      <c r="C16" s="1">
        <v>130940</v>
      </c>
      <c r="D16" s="1">
        <v>28778</v>
      </c>
      <c r="E16" s="1"/>
      <c r="F16" s="504"/>
      <c r="H16" s="131"/>
      <c r="I16" s="207"/>
      <c r="J16" s="201"/>
    </row>
    <row r="17" spans="1:10" ht="15" customHeight="1" x14ac:dyDescent="0.25">
      <c r="A17" s="3" t="s">
        <v>1034</v>
      </c>
      <c r="B17" s="1">
        <v>645911</v>
      </c>
      <c r="C17" s="1">
        <v>297957</v>
      </c>
      <c r="D17" s="1">
        <v>25000</v>
      </c>
      <c r="E17" s="1"/>
      <c r="F17" s="504"/>
      <c r="G17" s="222">
        <f>SUM(C14:C17)</f>
        <v>697147</v>
      </c>
      <c r="H17" s="131">
        <f>284954+342690+119503</f>
        <v>747147</v>
      </c>
      <c r="I17" s="208">
        <f>H17-G17</f>
        <v>50000</v>
      </c>
      <c r="J17" s="202" t="s">
        <v>1057</v>
      </c>
    </row>
    <row r="18" spans="1:10" x14ac:dyDescent="0.25">
      <c r="A18" s="3" t="s">
        <v>1035</v>
      </c>
      <c r="B18" s="1">
        <v>406583</v>
      </c>
      <c r="C18" s="1">
        <v>153341.5</v>
      </c>
      <c r="D18" s="1">
        <v>25075</v>
      </c>
      <c r="E18" s="1"/>
      <c r="F18" s="224" t="s">
        <v>1035</v>
      </c>
      <c r="G18" s="223">
        <f>GETPIVOTDATA("Somme de Subvention ANRU",$A$3,"Quartier","15 Clos Saint-Lazare")</f>
        <v>153341.5</v>
      </c>
      <c r="H18" s="217">
        <v>178721.5</v>
      </c>
      <c r="I18" s="207" t="s">
        <v>1051</v>
      </c>
      <c r="J18" s="201"/>
    </row>
    <row r="19" spans="1:10" x14ac:dyDescent="0.25">
      <c r="A19" s="3" t="s">
        <v>1036</v>
      </c>
      <c r="B19" s="1">
        <v>160865</v>
      </c>
      <c r="C19" s="1">
        <v>80432.5</v>
      </c>
      <c r="D19" s="1">
        <v>0</v>
      </c>
      <c r="E19" s="1"/>
      <c r="F19" s="224" t="s">
        <v>1036</v>
      </c>
      <c r="G19" s="223">
        <f>GETPIVOTDATA("Somme de Subvention ANRU",$A$3,"Quartier","16 La Prêtresse")</f>
        <v>80432.5</v>
      </c>
      <c r="H19" s="217">
        <v>120432.5</v>
      </c>
      <c r="I19" s="207" t="s">
        <v>1051</v>
      </c>
      <c r="J19" s="201"/>
    </row>
    <row r="20" spans="1:10" ht="18.75" customHeight="1" x14ac:dyDescent="0.25">
      <c r="A20" s="3" t="s">
        <v>1352</v>
      </c>
      <c r="B20" s="1">
        <v>368450</v>
      </c>
      <c r="C20" s="1">
        <v>122130</v>
      </c>
      <c r="D20" s="1">
        <v>13845</v>
      </c>
      <c r="E20" s="1"/>
      <c r="F20" s="225" t="s">
        <v>1351</v>
      </c>
      <c r="G20" s="222">
        <f>GETPIVOTDATA("Somme de Coût HT",$A$3,"Quartier","17 Transverse Stains")</f>
        <v>368450</v>
      </c>
      <c r="H20" s="131">
        <v>0</v>
      </c>
      <c r="I20" s="206" t="s">
        <v>1059</v>
      </c>
      <c r="J20" s="201"/>
    </row>
    <row r="21" spans="1:10" ht="19.5" customHeight="1" thickBot="1" x14ac:dyDescent="0.3">
      <c r="A21" s="3" t="s">
        <v>1037</v>
      </c>
      <c r="B21" s="1">
        <v>1132131</v>
      </c>
      <c r="C21" s="1">
        <v>427075</v>
      </c>
      <c r="D21" s="1">
        <v>23500</v>
      </c>
      <c r="E21" s="1"/>
      <c r="F21" s="226" t="s">
        <v>1037</v>
      </c>
      <c r="G21" s="222">
        <f>GETPIVOTDATA("Somme de Subvention ANRU",$A$3,"Quartier","18 Saint-Leu")</f>
        <v>427075</v>
      </c>
      <c r="H21" s="131">
        <v>535819</v>
      </c>
      <c r="I21" s="208">
        <f>H21-G21</f>
        <v>108744</v>
      </c>
      <c r="J21" s="218" t="s">
        <v>1058</v>
      </c>
    </row>
    <row r="22" spans="1:10" ht="19.5" customHeight="1" thickBot="1" x14ac:dyDescent="0.3">
      <c r="A22" s="3" t="s">
        <v>1353</v>
      </c>
      <c r="B22" s="1">
        <v>0</v>
      </c>
      <c r="C22" s="1">
        <v>0</v>
      </c>
      <c r="D22" s="1">
        <v>0</v>
      </c>
      <c r="E22" s="1"/>
      <c r="F22" s="1"/>
      <c r="G22" s="203"/>
      <c r="H22" s="204"/>
      <c r="I22" s="210"/>
      <c r="J22" s="205"/>
    </row>
    <row r="23" spans="1:10" x14ac:dyDescent="0.25">
      <c r="A23" s="3" t="s">
        <v>1349</v>
      </c>
      <c r="B23" s="1">
        <v>60000</v>
      </c>
      <c r="C23" s="1">
        <v>30000</v>
      </c>
      <c r="D23" s="1">
        <v>0</v>
      </c>
      <c r="E23" s="1"/>
      <c r="F23" s="1"/>
      <c r="G23" s="200"/>
      <c r="H23" s="200"/>
    </row>
    <row r="24" spans="1:10" x14ac:dyDescent="0.25">
      <c r="A24" s="3" t="s">
        <v>1350</v>
      </c>
      <c r="B24" s="1">
        <v>70000</v>
      </c>
      <c r="C24" s="1">
        <v>12500</v>
      </c>
      <c r="D24" s="1">
        <v>12500</v>
      </c>
      <c r="E24" s="1"/>
      <c r="F24" s="1"/>
    </row>
    <row r="25" spans="1:10" x14ac:dyDescent="0.25">
      <c r="A25" s="3" t="s">
        <v>1354</v>
      </c>
      <c r="B25" s="1">
        <v>112416</v>
      </c>
      <c r="C25" s="1">
        <v>47500</v>
      </c>
      <c r="D25" s="1">
        <v>0</v>
      </c>
    </row>
    <row r="26" spans="1:10" s="411" customFormat="1" x14ac:dyDescent="0.25">
      <c r="A26" s="408" t="s">
        <v>1355</v>
      </c>
      <c r="B26" s="409">
        <v>398720</v>
      </c>
      <c r="C26" s="409">
        <v>199360</v>
      </c>
      <c r="D26" s="409">
        <v>0</v>
      </c>
      <c r="E26" s="410"/>
      <c r="F26" s="410"/>
    </row>
    <row r="27" spans="1:10" x14ac:dyDescent="0.25">
      <c r="A27" s="3" t="s">
        <v>766</v>
      </c>
      <c r="B27" s="1">
        <v>12289913</v>
      </c>
      <c r="C27" s="1">
        <v>5122735.22</v>
      </c>
      <c r="D27" s="1">
        <v>373029</v>
      </c>
    </row>
    <row r="28" spans="1:10" x14ac:dyDescent="0.25">
      <c r="A28" s="3"/>
      <c r="B28" s="1"/>
      <c r="C28" s="1"/>
      <c r="D28" s="1"/>
    </row>
    <row r="29" spans="1:10" x14ac:dyDescent="0.25">
      <c r="A29" s="3"/>
      <c r="B29" s="1"/>
      <c r="C29" s="1"/>
      <c r="D29" s="1"/>
    </row>
    <row r="30" spans="1:10" x14ac:dyDescent="0.25">
      <c r="C30" s="180" t="s">
        <v>1362</v>
      </c>
      <c r="D30" s="180" t="s">
        <v>24</v>
      </c>
    </row>
    <row r="31" spans="1:10" x14ac:dyDescent="0.25">
      <c r="A31" s="3" t="s">
        <v>1356</v>
      </c>
      <c r="B31" s="1"/>
      <c r="C31" s="200">
        <f>GETPIVOTDATA("Somme de Subvention ANRU",$A$3,"Quartier","22 PRIR Rosiers Debain")+GETPIVOTDATA("Somme de Subvention ANRU",$A$3,"Quartier","23 PRIR Centre-Ville d'Epinay")</f>
        <v>246860</v>
      </c>
      <c r="D31" s="1">
        <v>0</v>
      </c>
    </row>
    <row r="32" spans="1:10" x14ac:dyDescent="0.25">
      <c r="B32" s="1"/>
      <c r="C32" s="200"/>
    </row>
    <row r="33" spans="1:4" x14ac:dyDescent="0.25">
      <c r="A33" s="3" t="s">
        <v>1357</v>
      </c>
      <c r="B33" s="1"/>
      <c r="C33" s="200">
        <f>GETPIVOTDATA("Somme de Subvention ANRU",$A$3)-C31</f>
        <v>4875875.22</v>
      </c>
      <c r="D33" s="1">
        <f>GETPIVOTDATA("Somme de CDC",$A$3)-D31</f>
        <v>373029</v>
      </c>
    </row>
    <row r="34" spans="1:4" x14ac:dyDescent="0.25">
      <c r="B34" s="1"/>
      <c r="C34" s="200"/>
    </row>
    <row r="35" spans="1:4" x14ac:dyDescent="0.25">
      <c r="A35" t="s">
        <v>1358</v>
      </c>
      <c r="C35" s="200">
        <f>2536750</f>
        <v>2536750</v>
      </c>
      <c r="D35" s="200">
        <v>160000</v>
      </c>
    </row>
    <row r="36" spans="1:4" x14ac:dyDescent="0.25">
      <c r="A36" t="s">
        <v>1359</v>
      </c>
      <c r="C36" s="200">
        <f>2927313-C35</f>
        <v>390563</v>
      </c>
    </row>
    <row r="37" spans="1:4" x14ac:dyDescent="0.25">
      <c r="A37" t="s">
        <v>1360</v>
      </c>
      <c r="C37" s="200">
        <v>1489500</v>
      </c>
      <c r="D37" s="200">
        <v>471959</v>
      </c>
    </row>
    <row r="38" spans="1:4" x14ac:dyDescent="0.25">
      <c r="C38" s="200"/>
    </row>
    <row r="39" spans="1:4" x14ac:dyDescent="0.25">
      <c r="A39" t="s">
        <v>1361</v>
      </c>
      <c r="C39" s="200">
        <f>GETPIVOTDATA("Somme de Subvention ANRU",$A$3)+C37+C35+C36</f>
        <v>9539548.2199999988</v>
      </c>
      <c r="D39" s="200">
        <f>GETPIVOTDATA("Somme de CDC",$A$3)+D35+D37</f>
        <v>1004988</v>
      </c>
    </row>
  </sheetData>
  <mergeCells count="3">
    <mergeCell ref="I8:I10"/>
    <mergeCell ref="F4:F6"/>
    <mergeCell ref="F14:F17"/>
  </mergeCells>
  <pageMargins left="0.23622047244094491" right="0.23622047244094491" top="0.74803149606299213" bottom="0.74803149606299213" header="0.31496062992125984" footer="0.31496062992125984"/>
  <pageSetup paperSize="9" scale="6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0"/>
  <sheetViews>
    <sheetView topLeftCell="E16" zoomScale="63" zoomScaleNormal="63" workbookViewId="0">
      <selection activeCell="O23" sqref="O23"/>
    </sheetView>
  </sheetViews>
  <sheetFormatPr baseColWidth="10" defaultRowHeight="60" customHeight="1" x14ac:dyDescent="0.25"/>
  <cols>
    <col min="1" max="1" width="32.42578125" customWidth="1"/>
    <col min="2" max="2" width="27.42578125" hidden="1" customWidth="1"/>
    <col min="3" max="3" width="12" hidden="1" customWidth="1"/>
    <col min="4" max="4" width="29" hidden="1" customWidth="1"/>
    <col min="5" max="5" width="59.28515625" customWidth="1"/>
    <col min="6" max="6" width="19.140625" customWidth="1"/>
    <col min="7" max="7" width="27.28515625" customWidth="1"/>
    <col min="8" max="8" width="18" customWidth="1"/>
    <col min="9" max="9" width="18.140625" customWidth="1"/>
    <col min="10" max="10" width="19.140625" customWidth="1"/>
    <col min="11" max="11" width="15.28515625" customWidth="1"/>
    <col min="12" max="12" width="44" customWidth="1"/>
    <col min="13" max="13" width="11.7109375" bestFit="1" customWidth="1"/>
    <col min="14" max="14" width="18.28515625" customWidth="1"/>
    <col min="15" max="16" width="20.140625" bestFit="1" customWidth="1"/>
    <col min="17" max="17" width="16.28515625" bestFit="1" customWidth="1"/>
    <col min="18" max="18" width="18.7109375" bestFit="1" customWidth="1"/>
    <col min="19" max="19" width="17.42578125" bestFit="1" customWidth="1"/>
    <col min="20" max="20" width="14.7109375" bestFit="1" customWidth="1"/>
    <col min="21" max="21" width="25.7109375" bestFit="1" customWidth="1"/>
    <col min="22" max="22" width="21.42578125" bestFit="1" customWidth="1"/>
    <col min="23" max="23" width="20.140625" bestFit="1" customWidth="1"/>
    <col min="24" max="24" width="17.140625" bestFit="1" customWidth="1"/>
    <col min="25" max="25" width="25.7109375" bestFit="1" customWidth="1"/>
    <col min="26" max="26" width="21.85546875" bestFit="1" customWidth="1"/>
    <col min="27" max="27" width="20.5703125" bestFit="1" customWidth="1"/>
    <col min="28" max="28" width="16.85546875" bestFit="1" customWidth="1"/>
    <col min="29" max="29" width="15.140625" bestFit="1" customWidth="1"/>
    <col min="30" max="30" width="22.5703125" bestFit="1" customWidth="1"/>
    <col min="31" max="31" width="30.140625" bestFit="1" customWidth="1"/>
    <col min="32" max="32" width="14.85546875" customWidth="1"/>
    <col min="33" max="34" width="11.7109375" customWidth="1"/>
    <col min="35" max="35" width="18.28515625" bestFit="1" customWidth="1"/>
    <col min="36" max="36" width="27.140625" bestFit="1" customWidth="1"/>
    <col min="37" max="37" width="32.85546875" bestFit="1" customWidth="1"/>
  </cols>
  <sheetData>
    <row r="1" spans="1:37" s="11" customFormat="1" ht="60" customHeight="1" x14ac:dyDescent="0.25">
      <c r="A1" s="11" t="s">
        <v>1097</v>
      </c>
      <c r="B1" s="11" t="s">
        <v>4</v>
      </c>
      <c r="C1" s="11" t="s">
        <v>1098</v>
      </c>
      <c r="D1" s="11" t="s">
        <v>1</v>
      </c>
      <c r="E1" s="347" t="s">
        <v>7</v>
      </c>
      <c r="F1" s="347" t="s">
        <v>9</v>
      </c>
      <c r="G1" s="11" t="s">
        <v>11</v>
      </c>
      <c r="H1" s="11" t="s">
        <v>1099</v>
      </c>
      <c r="I1" s="11" t="s">
        <v>1100</v>
      </c>
      <c r="J1" s="11" t="s">
        <v>18</v>
      </c>
      <c r="K1" s="4" t="s">
        <v>1101</v>
      </c>
      <c r="L1" s="4" t="s">
        <v>20</v>
      </c>
      <c r="M1" s="4" t="s">
        <v>1102</v>
      </c>
      <c r="N1" s="4" t="s">
        <v>22</v>
      </c>
      <c r="O1" s="4" t="s">
        <v>23</v>
      </c>
      <c r="P1" s="190" t="s">
        <v>994</v>
      </c>
      <c r="Q1" s="190" t="s">
        <v>589</v>
      </c>
      <c r="R1" s="190" t="s">
        <v>1091</v>
      </c>
      <c r="S1" s="190" t="s">
        <v>776</v>
      </c>
      <c r="T1" s="190" t="s">
        <v>456</v>
      </c>
      <c r="U1" s="190" t="s">
        <v>1095</v>
      </c>
      <c r="V1" s="190" t="s">
        <v>267</v>
      </c>
      <c r="W1" s="190" t="s">
        <v>775</v>
      </c>
      <c r="X1" s="190" t="s">
        <v>1096</v>
      </c>
      <c r="Y1" s="190" t="s">
        <v>280</v>
      </c>
      <c r="Z1" s="190" t="s">
        <v>285</v>
      </c>
      <c r="AA1" s="190" t="s">
        <v>323</v>
      </c>
      <c r="AB1" s="190" t="s">
        <v>1071</v>
      </c>
      <c r="AC1" s="190" t="s">
        <v>317</v>
      </c>
      <c r="AD1" s="190" t="s">
        <v>464</v>
      </c>
      <c r="AE1" s="190" t="s">
        <v>693</v>
      </c>
      <c r="AF1" s="4" t="s">
        <v>24</v>
      </c>
      <c r="AG1" s="11" t="s">
        <v>28</v>
      </c>
      <c r="AH1" s="12" t="s">
        <v>26</v>
      </c>
      <c r="AI1" s="12" t="s">
        <v>1365</v>
      </c>
      <c r="AJ1" s="11" t="s">
        <v>29</v>
      </c>
      <c r="AK1" s="11" t="s">
        <v>30</v>
      </c>
    </row>
    <row r="2" spans="1:37" ht="60" customHeight="1" x14ac:dyDescent="0.25">
      <c r="A2" s="348" t="s">
        <v>1154</v>
      </c>
      <c r="B2" s="348" t="s">
        <v>1103</v>
      </c>
      <c r="C2" s="348" t="s">
        <v>1062</v>
      </c>
      <c r="D2" s="348" t="s">
        <v>1004</v>
      </c>
      <c r="E2" s="348" t="s">
        <v>1063</v>
      </c>
      <c r="F2" s="348" t="s">
        <v>40</v>
      </c>
      <c r="G2" s="348" t="s">
        <v>1104</v>
      </c>
      <c r="H2" s="349">
        <v>300000</v>
      </c>
      <c r="I2" s="349">
        <v>360000</v>
      </c>
      <c r="J2" s="349">
        <v>300000</v>
      </c>
      <c r="K2" s="349">
        <v>0</v>
      </c>
      <c r="L2" s="349" t="s">
        <v>1105</v>
      </c>
      <c r="M2" s="349">
        <v>0</v>
      </c>
      <c r="N2" s="349">
        <v>150000</v>
      </c>
      <c r="O2" s="349">
        <v>0</v>
      </c>
      <c r="P2" s="422"/>
      <c r="Q2" s="422"/>
      <c r="R2" s="422"/>
      <c r="S2" s="422"/>
      <c r="T2" s="422"/>
      <c r="U2" s="422"/>
      <c r="V2" s="422"/>
      <c r="W2" s="422"/>
      <c r="X2" s="422"/>
      <c r="Y2" s="422"/>
      <c r="Z2" s="422"/>
      <c r="AA2" s="422"/>
      <c r="AB2" s="422"/>
      <c r="AC2" s="422"/>
      <c r="AD2" s="422"/>
      <c r="AE2" s="420"/>
      <c r="AF2" s="349">
        <v>150000</v>
      </c>
      <c r="AG2" s="349">
        <v>0</v>
      </c>
      <c r="AH2" s="419"/>
      <c r="AI2" s="419"/>
      <c r="AJ2" s="350">
        <v>42430</v>
      </c>
      <c r="AK2" s="351">
        <v>36</v>
      </c>
    </row>
    <row r="3" spans="1:37" ht="60" customHeight="1" x14ac:dyDescent="0.25">
      <c r="A3" s="348" t="s">
        <v>1155</v>
      </c>
      <c r="B3" s="348" t="s">
        <v>1106</v>
      </c>
      <c r="C3" s="348" t="s">
        <v>1064</v>
      </c>
      <c r="D3" s="348" t="s">
        <v>1004</v>
      </c>
      <c r="E3" s="348" t="s">
        <v>1065</v>
      </c>
      <c r="F3" s="348" t="s">
        <v>68</v>
      </c>
      <c r="G3" s="348" t="s">
        <v>1107</v>
      </c>
      <c r="H3" s="349">
        <v>50000</v>
      </c>
      <c r="I3" s="349">
        <v>60000</v>
      </c>
      <c r="J3" s="349">
        <v>50000</v>
      </c>
      <c r="K3" s="349">
        <v>15000</v>
      </c>
      <c r="L3" s="349" t="s">
        <v>1004</v>
      </c>
      <c r="M3" s="349">
        <v>0</v>
      </c>
      <c r="N3" s="349">
        <v>35000</v>
      </c>
      <c r="O3" s="349">
        <v>0</v>
      </c>
      <c r="P3" s="422"/>
      <c r="Q3" s="422"/>
      <c r="R3" s="422"/>
      <c r="S3" s="422"/>
      <c r="T3" s="422"/>
      <c r="U3" s="422"/>
      <c r="V3" s="422"/>
      <c r="W3" s="422"/>
      <c r="X3" s="422"/>
      <c r="Y3" s="422"/>
      <c r="Z3" s="422"/>
      <c r="AA3" s="422"/>
      <c r="AB3" s="422"/>
      <c r="AC3" s="422"/>
      <c r="AD3" s="422"/>
      <c r="AE3" s="420"/>
      <c r="AF3" s="349">
        <v>0</v>
      </c>
      <c r="AG3" s="349">
        <v>0</v>
      </c>
      <c r="AH3" s="419"/>
      <c r="AI3" s="419"/>
      <c r="AJ3" s="350" t="s">
        <v>1108</v>
      </c>
      <c r="AK3" s="351">
        <v>12</v>
      </c>
    </row>
    <row r="4" spans="1:37" s="442" customFormat="1" ht="69.75" customHeight="1" x14ac:dyDescent="0.25">
      <c r="A4" s="435" t="s">
        <v>1156</v>
      </c>
      <c r="B4" s="435" t="s">
        <v>1106</v>
      </c>
      <c r="C4" s="435" t="s">
        <v>1066</v>
      </c>
      <c r="D4" s="435" t="s">
        <v>1109</v>
      </c>
      <c r="E4" s="435" t="s">
        <v>1067</v>
      </c>
      <c r="F4" s="435" t="s">
        <v>68</v>
      </c>
      <c r="G4" s="435" t="s">
        <v>1107</v>
      </c>
      <c r="H4" s="436">
        <v>58333</v>
      </c>
      <c r="I4" s="436">
        <v>70000</v>
      </c>
      <c r="J4" s="436">
        <v>58333</v>
      </c>
      <c r="K4" s="436">
        <v>17500</v>
      </c>
      <c r="L4" s="436" t="s">
        <v>1004</v>
      </c>
      <c r="M4" s="436">
        <v>0</v>
      </c>
      <c r="N4" s="436">
        <f>Tableau14[[#This Row],[cout HT]]-Tableau14[[#This Row],[Subvention ANRU (total des lignes)]]-Tableau14[[#This Row],[CDC]]</f>
        <v>29166</v>
      </c>
      <c r="O4" s="436">
        <v>0</v>
      </c>
      <c r="P4" s="437"/>
      <c r="Q4" s="437"/>
      <c r="R4" s="437"/>
      <c r="S4" s="437"/>
      <c r="T4" s="437"/>
      <c r="U4" s="437"/>
      <c r="V4" s="437"/>
      <c r="W4" s="437"/>
      <c r="X4" s="437"/>
      <c r="Y4" s="437"/>
      <c r="Z4" s="437"/>
      <c r="AA4" s="437"/>
      <c r="AB4" s="437"/>
      <c r="AC4" s="437"/>
      <c r="AD4" s="437"/>
      <c r="AE4" s="438"/>
      <c r="AF4" s="436">
        <v>11667</v>
      </c>
      <c r="AG4" s="436">
        <v>0</v>
      </c>
      <c r="AH4" s="439"/>
      <c r="AI4" s="439"/>
      <c r="AJ4" s="440" t="s">
        <v>1108</v>
      </c>
      <c r="AK4" s="441">
        <v>12</v>
      </c>
    </row>
    <row r="5" spans="1:37" ht="60" customHeight="1" x14ac:dyDescent="0.25">
      <c r="A5" s="348" t="s">
        <v>1157</v>
      </c>
      <c r="B5" s="348" t="s">
        <v>1106</v>
      </c>
      <c r="C5" s="348" t="s">
        <v>795</v>
      </c>
      <c r="D5" s="348" t="s">
        <v>1110</v>
      </c>
      <c r="E5" s="348" t="s">
        <v>1111</v>
      </c>
      <c r="F5" s="348" t="s">
        <v>1112</v>
      </c>
      <c r="G5" s="348" t="s">
        <v>1113</v>
      </c>
      <c r="H5" s="349">
        <v>213667</v>
      </c>
      <c r="I5" s="349">
        <f>Tableau14[[#This Row],[cout HT]]*1.2</f>
        <v>256400.4</v>
      </c>
      <c r="J5" s="349">
        <v>213667</v>
      </c>
      <c r="K5" s="349">
        <v>0</v>
      </c>
      <c r="L5" s="349" t="s">
        <v>1114</v>
      </c>
      <c r="M5" s="349">
        <v>0</v>
      </c>
      <c r="N5" s="349">
        <v>98500</v>
      </c>
      <c r="O5" s="349">
        <v>8333</v>
      </c>
      <c r="P5" s="422"/>
      <c r="Q5" s="422"/>
      <c r="R5" s="422"/>
      <c r="S5" s="422"/>
      <c r="T5" s="422"/>
      <c r="U5" s="422"/>
      <c r="V5" s="422"/>
      <c r="W5" s="422"/>
      <c r="X5" s="422"/>
      <c r="Y5" s="422"/>
      <c r="Z5" s="422"/>
      <c r="AA5" s="422"/>
      <c r="AB5" s="422"/>
      <c r="AC5" s="422">
        <v>8333</v>
      </c>
      <c r="AD5" s="422"/>
      <c r="AE5" s="420"/>
      <c r="AF5" s="349">
        <f>98500+8333</f>
        <v>106833</v>
      </c>
      <c r="AG5" s="349">
        <v>0</v>
      </c>
      <c r="AH5" s="419"/>
      <c r="AI5" s="419"/>
      <c r="AJ5" s="350">
        <v>42430</v>
      </c>
      <c r="AK5" s="351">
        <v>24</v>
      </c>
    </row>
    <row r="6" spans="1:37" ht="60" customHeight="1" x14ac:dyDescent="0.25">
      <c r="A6" s="348" t="s">
        <v>1158</v>
      </c>
      <c r="B6" s="348" t="s">
        <v>1106</v>
      </c>
      <c r="C6" s="348" t="s">
        <v>1068</v>
      </c>
      <c r="D6" s="348" t="s">
        <v>1115</v>
      </c>
      <c r="E6" s="348" t="s">
        <v>1069</v>
      </c>
      <c r="F6" s="348" t="s">
        <v>40</v>
      </c>
      <c r="G6" s="348" t="s">
        <v>1116</v>
      </c>
      <c r="H6" s="349">
        <v>160000</v>
      </c>
      <c r="I6" s="349">
        <v>192000</v>
      </c>
      <c r="J6" s="349">
        <v>160000</v>
      </c>
      <c r="K6" s="349">
        <v>80000</v>
      </c>
      <c r="L6" s="349" t="s">
        <v>1004</v>
      </c>
      <c r="M6" s="349">
        <v>0</v>
      </c>
      <c r="N6" s="349">
        <v>80000</v>
      </c>
      <c r="O6" s="349">
        <v>0</v>
      </c>
      <c r="P6" s="422"/>
      <c r="Q6" s="422"/>
      <c r="R6" s="422"/>
      <c r="S6" s="422"/>
      <c r="T6" s="422"/>
      <c r="U6" s="422"/>
      <c r="V6" s="422"/>
      <c r="W6" s="422"/>
      <c r="X6" s="422"/>
      <c r="Y6" s="422"/>
      <c r="Z6" s="422"/>
      <c r="AA6" s="422"/>
      <c r="AB6" s="422"/>
      <c r="AC6" s="422"/>
      <c r="AD6" s="422"/>
      <c r="AE6" s="420"/>
      <c r="AF6" s="349">
        <v>0</v>
      </c>
      <c r="AG6" s="349">
        <v>0</v>
      </c>
      <c r="AH6" s="419"/>
      <c r="AI6" s="419"/>
      <c r="AJ6" s="350">
        <v>42430</v>
      </c>
      <c r="AK6" s="351">
        <v>24</v>
      </c>
    </row>
    <row r="7" spans="1:37" ht="60" customHeight="1" x14ac:dyDescent="0.25">
      <c r="A7" s="348" t="s">
        <v>1159</v>
      </c>
      <c r="B7" s="348" t="s">
        <v>1106</v>
      </c>
      <c r="C7" s="348" t="s">
        <v>819</v>
      </c>
      <c r="D7" s="348" t="s">
        <v>1117</v>
      </c>
      <c r="E7" s="348" t="s">
        <v>1118</v>
      </c>
      <c r="F7" s="348" t="s">
        <v>40</v>
      </c>
      <c r="G7" s="348" t="s">
        <v>1119</v>
      </c>
      <c r="H7" s="349">
        <v>140000</v>
      </c>
      <c r="I7" s="349">
        <f>Tableau14[[#This Row],[cout HT]]*1.2</f>
        <v>168000</v>
      </c>
      <c r="J7" s="349">
        <f>140000</f>
        <v>140000</v>
      </c>
      <c r="K7" s="349">
        <v>0</v>
      </c>
      <c r="L7" s="349" t="s">
        <v>1372</v>
      </c>
      <c r="M7" s="349">
        <v>0</v>
      </c>
      <c r="N7" s="349">
        <f>70000-Tableau14[[#This Row],[Bailleurs]]</f>
        <v>70000</v>
      </c>
      <c r="O7" s="349"/>
      <c r="P7" s="422"/>
      <c r="Q7" s="422"/>
      <c r="R7" s="422"/>
      <c r="S7" s="422"/>
      <c r="T7" s="422"/>
      <c r="U7" s="422"/>
      <c r="V7" s="422"/>
      <c r="W7" s="422"/>
      <c r="X7" s="422"/>
      <c r="Y7" s="422"/>
      <c r="Z7" s="422"/>
      <c r="AA7" s="422"/>
      <c r="AB7" s="422"/>
      <c r="AC7" s="422"/>
      <c r="AD7" s="422"/>
      <c r="AE7" s="420"/>
      <c r="AF7" s="349">
        <v>70000</v>
      </c>
      <c r="AG7" s="349">
        <v>0</v>
      </c>
      <c r="AH7" s="419"/>
      <c r="AI7" s="419"/>
      <c r="AJ7" s="350">
        <v>42430</v>
      </c>
      <c r="AK7" s="351">
        <v>24</v>
      </c>
    </row>
    <row r="8" spans="1:37" ht="60" customHeight="1" x14ac:dyDescent="0.25">
      <c r="A8" s="348" t="s">
        <v>1160</v>
      </c>
      <c r="B8" s="348" t="s">
        <v>1103</v>
      </c>
      <c r="C8" s="348" t="s">
        <v>828</v>
      </c>
      <c r="D8" s="348" t="s">
        <v>1120</v>
      </c>
      <c r="E8" s="348" t="s">
        <v>1121</v>
      </c>
      <c r="F8" s="348" t="s">
        <v>40</v>
      </c>
      <c r="G8" s="348" t="s">
        <v>1104</v>
      </c>
      <c r="H8" s="349">
        <v>150000</v>
      </c>
      <c r="I8" s="349">
        <v>180000</v>
      </c>
      <c r="J8" s="349">
        <v>150000</v>
      </c>
      <c r="K8" s="349">
        <v>0</v>
      </c>
      <c r="L8" s="349" t="s">
        <v>1122</v>
      </c>
      <c r="M8" s="349">
        <v>0</v>
      </c>
      <c r="N8" s="349">
        <v>75000</v>
      </c>
      <c r="O8" s="349">
        <v>0</v>
      </c>
      <c r="P8" s="422"/>
      <c r="Q8" s="422"/>
      <c r="R8" s="422"/>
      <c r="S8" s="422"/>
      <c r="T8" s="422"/>
      <c r="U8" s="422"/>
      <c r="V8" s="422"/>
      <c r="W8" s="422"/>
      <c r="X8" s="422"/>
      <c r="Y8" s="422"/>
      <c r="Z8" s="422"/>
      <c r="AA8" s="422"/>
      <c r="AB8" s="422"/>
      <c r="AC8" s="422"/>
      <c r="AD8" s="422"/>
      <c r="AE8" s="420"/>
      <c r="AF8" s="349">
        <v>75000</v>
      </c>
      <c r="AG8" s="349">
        <v>0</v>
      </c>
      <c r="AH8" s="419"/>
      <c r="AI8" s="419"/>
      <c r="AJ8" s="350">
        <v>42430</v>
      </c>
      <c r="AK8" s="351">
        <v>12</v>
      </c>
    </row>
    <row r="9" spans="1:37" ht="60" customHeight="1" x14ac:dyDescent="0.25">
      <c r="A9" s="348" t="s">
        <v>1165</v>
      </c>
      <c r="B9" s="348" t="s">
        <v>1103</v>
      </c>
      <c r="C9" s="348" t="s">
        <v>833</v>
      </c>
      <c r="D9" s="348" t="s">
        <v>1123</v>
      </c>
      <c r="E9" s="348" t="s">
        <v>1124</v>
      </c>
      <c r="F9" s="348" t="s">
        <v>40</v>
      </c>
      <c r="G9" s="348" t="s">
        <v>1125</v>
      </c>
      <c r="H9" s="349">
        <v>390000</v>
      </c>
      <c r="I9" s="349">
        <v>468000</v>
      </c>
      <c r="J9" s="349">
        <v>390000</v>
      </c>
      <c r="K9" s="349">
        <v>195000</v>
      </c>
      <c r="L9" s="349" t="s">
        <v>1126</v>
      </c>
      <c r="M9" s="349">
        <v>0</v>
      </c>
      <c r="N9" s="349">
        <v>158000</v>
      </c>
      <c r="O9" s="349">
        <v>37000</v>
      </c>
      <c r="P9" s="422">
        <v>3750</v>
      </c>
      <c r="Q9" s="422">
        <v>15546</v>
      </c>
      <c r="R9" s="422">
        <v>365</v>
      </c>
      <c r="S9" s="422">
        <v>0</v>
      </c>
      <c r="T9" s="422">
        <v>12500</v>
      </c>
      <c r="U9" s="422">
        <v>0</v>
      </c>
      <c r="V9" s="422">
        <v>0</v>
      </c>
      <c r="W9" s="422">
        <v>0</v>
      </c>
      <c r="X9" s="422">
        <v>0</v>
      </c>
      <c r="Y9" s="422">
        <v>0</v>
      </c>
      <c r="Z9" s="422">
        <v>0</v>
      </c>
      <c r="AA9" s="422">
        <v>0</v>
      </c>
      <c r="AB9" s="422">
        <v>2465</v>
      </c>
      <c r="AC9" s="422">
        <v>0</v>
      </c>
      <c r="AD9" s="422">
        <v>2375</v>
      </c>
      <c r="AE9" s="420">
        <v>0</v>
      </c>
      <c r="AF9" s="349">
        <v>0</v>
      </c>
      <c r="AG9" s="349">
        <v>0</v>
      </c>
      <c r="AH9" s="419"/>
      <c r="AI9" s="419"/>
      <c r="AJ9" s="350">
        <v>42430</v>
      </c>
      <c r="AK9" s="351">
        <v>12</v>
      </c>
    </row>
    <row r="10" spans="1:37" ht="60" customHeight="1" x14ac:dyDescent="0.25">
      <c r="A10" s="348" t="s">
        <v>1164</v>
      </c>
      <c r="B10" s="348" t="s">
        <v>1106</v>
      </c>
      <c r="C10" s="348" t="s">
        <v>1127</v>
      </c>
      <c r="D10" s="348" t="s">
        <v>1004</v>
      </c>
      <c r="E10" s="348" t="s">
        <v>1128</v>
      </c>
      <c r="F10" s="348" t="s">
        <v>210</v>
      </c>
      <c r="G10" s="348" t="s">
        <v>1129</v>
      </c>
      <c r="H10" s="349">
        <v>20000</v>
      </c>
      <c r="I10" s="349">
        <v>24000</v>
      </c>
      <c r="J10" s="349">
        <v>20000</v>
      </c>
      <c r="K10" s="349">
        <v>10000</v>
      </c>
      <c r="L10" s="349" t="s">
        <v>1004</v>
      </c>
      <c r="M10" s="349">
        <v>0</v>
      </c>
      <c r="N10" s="349">
        <v>10000</v>
      </c>
      <c r="O10" s="349">
        <v>0</v>
      </c>
      <c r="P10" s="422"/>
      <c r="Q10" s="422"/>
      <c r="R10" s="422"/>
      <c r="S10" s="422"/>
      <c r="T10" s="422"/>
      <c r="U10" s="422"/>
      <c r="V10" s="422"/>
      <c r="W10" s="422"/>
      <c r="X10" s="422"/>
      <c r="Y10" s="422"/>
      <c r="Z10" s="422"/>
      <c r="AA10" s="422"/>
      <c r="AB10" s="422"/>
      <c r="AC10" s="422"/>
      <c r="AD10" s="422"/>
      <c r="AE10" s="420"/>
      <c r="AF10" s="349">
        <v>0</v>
      </c>
      <c r="AG10" s="349">
        <v>0</v>
      </c>
      <c r="AH10" s="419"/>
      <c r="AI10" s="419"/>
      <c r="AJ10" s="350" t="s">
        <v>1130</v>
      </c>
      <c r="AK10" s="351">
        <v>6</v>
      </c>
    </row>
    <row r="11" spans="1:37" ht="60" customHeight="1" x14ac:dyDescent="0.25">
      <c r="A11" s="348" t="s">
        <v>1166</v>
      </c>
      <c r="B11" s="348" t="s">
        <v>1103</v>
      </c>
      <c r="C11" s="348" t="s">
        <v>861</v>
      </c>
      <c r="D11" s="348" t="s">
        <v>1131</v>
      </c>
      <c r="E11" s="348" t="s">
        <v>1132</v>
      </c>
      <c r="F11" s="348" t="s">
        <v>53</v>
      </c>
      <c r="G11" s="348" t="s">
        <v>1133</v>
      </c>
      <c r="H11" s="349">
        <v>152000</v>
      </c>
      <c r="I11" s="349">
        <v>182400</v>
      </c>
      <c r="J11" s="349">
        <v>152000</v>
      </c>
      <c r="K11" s="349">
        <v>76000</v>
      </c>
      <c r="L11" s="349" t="s">
        <v>1134</v>
      </c>
      <c r="M11" s="349">
        <v>0</v>
      </c>
      <c r="N11" s="349">
        <v>76000</v>
      </c>
      <c r="O11" s="349">
        <v>0</v>
      </c>
      <c r="P11" s="422"/>
      <c r="Q11" s="422"/>
      <c r="R11" s="422"/>
      <c r="S11" s="422"/>
      <c r="T11" s="422"/>
      <c r="U11" s="422"/>
      <c r="V11" s="422"/>
      <c r="W11" s="422"/>
      <c r="X11" s="422"/>
      <c r="Y11" s="422"/>
      <c r="Z11" s="422"/>
      <c r="AA11" s="422"/>
      <c r="AB11" s="422"/>
      <c r="AC11" s="422"/>
      <c r="AD11" s="422"/>
      <c r="AE11" s="420"/>
      <c r="AF11" s="349">
        <v>0</v>
      </c>
      <c r="AG11" s="349">
        <v>0</v>
      </c>
      <c r="AH11" s="419"/>
      <c r="AI11" s="419"/>
      <c r="AJ11" s="350" t="s">
        <v>1135</v>
      </c>
      <c r="AK11" s="351">
        <v>18</v>
      </c>
    </row>
    <row r="12" spans="1:37" ht="60" customHeight="1" x14ac:dyDescent="0.25">
      <c r="A12" s="348" t="s">
        <v>861</v>
      </c>
      <c r="B12" s="348" t="s">
        <v>1103</v>
      </c>
      <c r="C12" s="348" t="s">
        <v>879</v>
      </c>
      <c r="D12" s="348" t="s">
        <v>1136</v>
      </c>
      <c r="E12" s="348" t="s">
        <v>1137</v>
      </c>
      <c r="F12" s="348" t="s">
        <v>53</v>
      </c>
      <c r="G12" s="348" t="s">
        <v>1125</v>
      </c>
      <c r="H12" s="349">
        <v>142000</v>
      </c>
      <c r="I12" s="349">
        <v>170400</v>
      </c>
      <c r="J12" s="349">
        <v>142000</v>
      </c>
      <c r="K12" s="349">
        <v>71000</v>
      </c>
      <c r="L12" s="349" t="s">
        <v>1390</v>
      </c>
      <c r="M12" s="349">
        <v>0</v>
      </c>
      <c r="N12" s="349">
        <v>71000</v>
      </c>
      <c r="O12" s="349"/>
      <c r="P12" s="422"/>
      <c r="Q12" s="422"/>
      <c r="R12" s="422"/>
      <c r="S12" s="422"/>
      <c r="T12" s="422"/>
      <c r="U12" s="422"/>
      <c r="V12" s="422"/>
      <c r="W12" s="422"/>
      <c r="X12" s="422"/>
      <c r="Y12" s="422"/>
      <c r="Z12" s="422"/>
      <c r="AA12" s="422"/>
      <c r="AB12" s="422"/>
      <c r="AC12" s="422"/>
      <c r="AD12" s="422"/>
      <c r="AE12" s="420"/>
      <c r="AF12" s="349">
        <v>0</v>
      </c>
      <c r="AG12" s="349">
        <v>0</v>
      </c>
      <c r="AH12" s="419"/>
      <c r="AI12" s="419"/>
      <c r="AJ12" s="350" t="s">
        <v>1108</v>
      </c>
      <c r="AK12" s="351">
        <v>18</v>
      </c>
    </row>
    <row r="13" spans="1:37" ht="60" customHeight="1" x14ac:dyDescent="0.25">
      <c r="A13" s="348" t="s">
        <v>879</v>
      </c>
      <c r="B13" s="348" t="s">
        <v>1103</v>
      </c>
      <c r="C13" s="348" t="s">
        <v>888</v>
      </c>
      <c r="D13" s="348" t="s">
        <v>1138</v>
      </c>
      <c r="E13" s="348" t="s">
        <v>1139</v>
      </c>
      <c r="F13" s="348" t="s">
        <v>53</v>
      </c>
      <c r="G13" s="348" t="s">
        <v>1140</v>
      </c>
      <c r="H13" s="349">
        <v>789000</v>
      </c>
      <c r="I13" s="349">
        <v>946800</v>
      </c>
      <c r="J13" s="349">
        <v>789000</v>
      </c>
      <c r="K13" s="349">
        <v>394500</v>
      </c>
      <c r="L13" s="349" t="s">
        <v>1004</v>
      </c>
      <c r="M13" s="349">
        <v>0</v>
      </c>
      <c r="N13" s="349">
        <v>394500</v>
      </c>
      <c r="O13" s="349">
        <v>0</v>
      </c>
      <c r="P13" s="422"/>
      <c r="Q13" s="422"/>
      <c r="R13" s="422"/>
      <c r="S13" s="422"/>
      <c r="T13" s="422"/>
      <c r="U13" s="422"/>
      <c r="V13" s="422"/>
      <c r="W13" s="422"/>
      <c r="X13" s="422"/>
      <c r="Y13" s="422"/>
      <c r="Z13" s="422"/>
      <c r="AA13" s="422"/>
      <c r="AB13" s="422"/>
      <c r="AC13" s="422"/>
      <c r="AD13" s="422"/>
      <c r="AE13" s="420"/>
      <c r="AF13" s="349">
        <v>0</v>
      </c>
      <c r="AG13" s="349">
        <v>0</v>
      </c>
      <c r="AH13" s="419"/>
      <c r="AI13" s="419"/>
      <c r="AJ13" s="350" t="s">
        <v>1108</v>
      </c>
      <c r="AK13" s="351">
        <v>18</v>
      </c>
    </row>
    <row r="14" spans="1:37" ht="60" customHeight="1" x14ac:dyDescent="0.25">
      <c r="A14" s="348" t="s">
        <v>888</v>
      </c>
      <c r="B14" s="348" t="s">
        <v>1103</v>
      </c>
      <c r="C14" s="348" t="s">
        <v>911</v>
      </c>
      <c r="D14" s="348" t="s">
        <v>1141</v>
      </c>
      <c r="E14" s="348" t="s">
        <v>1142</v>
      </c>
      <c r="F14" s="348" t="s">
        <v>53</v>
      </c>
      <c r="G14" s="348" t="s">
        <v>1133</v>
      </c>
      <c r="H14" s="349">
        <f>776000-15000</f>
        <v>761000</v>
      </c>
      <c r="I14" s="349">
        <f>Tableau14[[#This Row],[cout HT]]*1.2</f>
        <v>913200</v>
      </c>
      <c r="J14" s="349">
        <f>Tableau14[[#This Row],[cout HT]]</f>
        <v>761000</v>
      </c>
      <c r="K14" s="349">
        <f>Tableau14[[#This Row],[Base de financement]]/2</f>
        <v>380500</v>
      </c>
      <c r="L14" s="349" t="s">
        <v>1143</v>
      </c>
      <c r="M14" s="349">
        <v>0</v>
      </c>
      <c r="N14" s="349">
        <v>274500</v>
      </c>
      <c r="O14" s="349">
        <v>106000</v>
      </c>
      <c r="P14" s="422">
        <v>1500</v>
      </c>
      <c r="Q14" s="422">
        <v>0</v>
      </c>
      <c r="R14" s="422">
        <v>0</v>
      </c>
      <c r="S14" s="422">
        <v>30250</v>
      </c>
      <c r="T14" s="422">
        <v>18966</v>
      </c>
      <c r="U14" s="422">
        <v>5906</v>
      </c>
      <c r="V14" s="422">
        <v>7160</v>
      </c>
      <c r="W14" s="422">
        <v>1306</v>
      </c>
      <c r="X14" s="422">
        <v>854</v>
      </c>
      <c r="Y14" s="422">
        <v>1601</v>
      </c>
      <c r="Z14" s="422">
        <v>579</v>
      </c>
      <c r="AA14" s="422">
        <v>2867</v>
      </c>
      <c r="AB14" s="422">
        <v>0</v>
      </c>
      <c r="AC14" s="422">
        <v>10011</v>
      </c>
      <c r="AD14" s="422">
        <v>0</v>
      </c>
      <c r="AE14" s="420">
        <v>15000</v>
      </c>
      <c r="AF14" s="349">
        <v>0</v>
      </c>
      <c r="AG14" s="349">
        <v>0</v>
      </c>
      <c r="AH14" s="419"/>
      <c r="AI14" s="419"/>
      <c r="AJ14" s="350">
        <v>42430</v>
      </c>
      <c r="AK14" s="351">
        <v>18</v>
      </c>
    </row>
    <row r="15" spans="1:37" ht="60" customHeight="1" x14ac:dyDescent="0.25">
      <c r="A15" s="348" t="s">
        <v>1167</v>
      </c>
      <c r="B15" s="348" t="s">
        <v>1106</v>
      </c>
      <c r="C15" s="348" t="s">
        <v>950</v>
      </c>
      <c r="D15" s="348" t="s">
        <v>1144</v>
      </c>
      <c r="E15" s="348" t="s">
        <v>1145</v>
      </c>
      <c r="F15" s="348" t="s">
        <v>113</v>
      </c>
      <c r="G15" s="348" t="s">
        <v>1146</v>
      </c>
      <c r="H15" s="349">
        <v>250000</v>
      </c>
      <c r="I15" s="349">
        <v>300000</v>
      </c>
      <c r="J15" s="349">
        <v>250000</v>
      </c>
      <c r="K15" s="349">
        <v>125000</v>
      </c>
      <c r="L15" s="349"/>
      <c r="M15" s="349">
        <v>0</v>
      </c>
      <c r="N15" s="349">
        <v>115250</v>
      </c>
      <c r="O15" s="349">
        <v>9750</v>
      </c>
      <c r="P15" s="422">
        <v>0</v>
      </c>
      <c r="Q15" s="422">
        <v>8192</v>
      </c>
      <c r="R15" s="422">
        <v>391</v>
      </c>
      <c r="S15" s="422">
        <v>0</v>
      </c>
      <c r="T15" s="422">
        <v>0</v>
      </c>
      <c r="U15" s="422">
        <v>0</v>
      </c>
      <c r="V15" s="422">
        <v>0</v>
      </c>
      <c r="W15" s="422">
        <v>0</v>
      </c>
      <c r="X15" s="422">
        <v>0</v>
      </c>
      <c r="Y15" s="422">
        <v>0</v>
      </c>
      <c r="Z15" s="422">
        <v>0</v>
      </c>
      <c r="AA15" s="422">
        <v>0</v>
      </c>
      <c r="AB15" s="422">
        <v>1168</v>
      </c>
      <c r="AC15" s="422">
        <v>0</v>
      </c>
      <c r="AD15" s="422">
        <v>0</v>
      </c>
      <c r="AE15" s="420">
        <v>0</v>
      </c>
      <c r="AF15" s="349">
        <v>0</v>
      </c>
      <c r="AG15" s="349">
        <v>0</v>
      </c>
      <c r="AH15" s="419"/>
      <c r="AI15" s="419"/>
      <c r="AJ15" s="350">
        <v>42430</v>
      </c>
      <c r="AK15" s="351">
        <v>24</v>
      </c>
    </row>
    <row r="16" spans="1:37" ht="60" customHeight="1" x14ac:dyDescent="0.25">
      <c r="A16" s="348" t="s">
        <v>1168</v>
      </c>
      <c r="B16" s="348" t="s">
        <v>1106</v>
      </c>
      <c r="C16" s="348" t="s">
        <v>968</v>
      </c>
      <c r="D16" s="348" t="s">
        <v>1147</v>
      </c>
      <c r="E16" s="348" t="s">
        <v>1148</v>
      </c>
      <c r="F16" s="348" t="s">
        <v>113</v>
      </c>
      <c r="G16" s="348" t="s">
        <v>1146</v>
      </c>
      <c r="H16" s="349">
        <v>55000</v>
      </c>
      <c r="I16" s="349">
        <v>66000</v>
      </c>
      <c r="J16" s="349">
        <v>55000</v>
      </c>
      <c r="K16" s="349">
        <v>0</v>
      </c>
      <c r="L16" s="349" t="s">
        <v>1149</v>
      </c>
      <c r="M16" s="349">
        <v>0</v>
      </c>
      <c r="N16" s="349">
        <v>27500</v>
      </c>
      <c r="O16" s="349">
        <v>27500</v>
      </c>
      <c r="P16" s="422">
        <v>0</v>
      </c>
      <c r="Q16" s="422">
        <v>11883</v>
      </c>
      <c r="R16" s="422">
        <v>781</v>
      </c>
      <c r="S16" s="422">
        <v>0</v>
      </c>
      <c r="T16" s="422">
        <v>12500</v>
      </c>
      <c r="U16" s="422">
        <v>0</v>
      </c>
      <c r="V16" s="422">
        <v>0</v>
      </c>
      <c r="W16" s="422">
        <v>0</v>
      </c>
      <c r="X16" s="422">
        <v>0</v>
      </c>
      <c r="Y16" s="422">
        <v>0</v>
      </c>
      <c r="Z16" s="422">
        <v>0</v>
      </c>
      <c r="AA16" s="422">
        <v>0</v>
      </c>
      <c r="AB16" s="422">
        <v>2336</v>
      </c>
      <c r="AC16" s="422">
        <v>0</v>
      </c>
      <c r="AD16" s="422">
        <v>0</v>
      </c>
      <c r="AE16" s="420">
        <v>0</v>
      </c>
      <c r="AF16" s="349">
        <v>0</v>
      </c>
      <c r="AG16" s="349">
        <v>0</v>
      </c>
      <c r="AH16" s="419"/>
      <c r="AI16" s="419"/>
      <c r="AJ16" s="350" t="s">
        <v>1150</v>
      </c>
      <c r="AK16" s="351">
        <v>18</v>
      </c>
    </row>
    <row r="17" spans="1:37" ht="60" customHeight="1" x14ac:dyDescent="0.25">
      <c r="A17" s="348" t="s">
        <v>1167</v>
      </c>
      <c r="B17" s="348" t="s">
        <v>1106</v>
      </c>
      <c r="C17" s="348" t="s">
        <v>976</v>
      </c>
      <c r="D17" s="348" t="s">
        <v>1151</v>
      </c>
      <c r="E17" s="348" t="s">
        <v>1152</v>
      </c>
      <c r="F17" s="348" t="s">
        <v>113</v>
      </c>
      <c r="G17" s="348" t="s">
        <v>1146</v>
      </c>
      <c r="H17" s="349">
        <v>250000</v>
      </c>
      <c r="I17" s="349">
        <v>300000</v>
      </c>
      <c r="J17" s="349">
        <v>250000</v>
      </c>
      <c r="K17" s="349">
        <v>125000</v>
      </c>
      <c r="L17" s="349" t="s">
        <v>1004</v>
      </c>
      <c r="M17" s="349">
        <v>0</v>
      </c>
      <c r="N17" s="349">
        <v>114000</v>
      </c>
      <c r="O17" s="349">
        <v>11000</v>
      </c>
      <c r="P17" s="422">
        <v>0</v>
      </c>
      <c r="Q17" s="422">
        <v>0</v>
      </c>
      <c r="R17" s="422">
        <v>0</v>
      </c>
      <c r="S17" s="422">
        <v>11000</v>
      </c>
      <c r="T17" s="422">
        <v>0</v>
      </c>
      <c r="U17" s="422">
        <v>0</v>
      </c>
      <c r="V17" s="422">
        <v>0</v>
      </c>
      <c r="W17" s="422">
        <v>0</v>
      </c>
      <c r="X17" s="422">
        <v>0</v>
      </c>
      <c r="Y17" s="422">
        <v>0</v>
      </c>
      <c r="Z17" s="422">
        <v>0</v>
      </c>
      <c r="AA17" s="422">
        <v>0</v>
      </c>
      <c r="AB17" s="422">
        <v>0</v>
      </c>
      <c r="AC17" s="422">
        <v>0</v>
      </c>
      <c r="AD17" s="422">
        <v>0</v>
      </c>
      <c r="AE17" s="420">
        <v>0</v>
      </c>
      <c r="AF17" s="349">
        <v>0</v>
      </c>
      <c r="AG17" s="349">
        <v>0</v>
      </c>
      <c r="AH17" s="419"/>
      <c r="AI17" s="419"/>
      <c r="AJ17" s="350">
        <v>42430</v>
      </c>
      <c r="AK17" s="351">
        <v>24</v>
      </c>
    </row>
    <row r="18" spans="1:37" ht="59.25" customHeight="1" x14ac:dyDescent="0.25">
      <c r="A18" s="415" t="s">
        <v>991</v>
      </c>
      <c r="B18" s="415"/>
      <c r="C18" s="74" t="s">
        <v>991</v>
      </c>
      <c r="D18" s="415"/>
      <c r="E18" s="24" t="s">
        <v>992</v>
      </c>
      <c r="F18" s="415" t="s">
        <v>53</v>
      </c>
      <c r="G18" s="415" t="s">
        <v>993</v>
      </c>
      <c r="H18" s="416">
        <v>167025</v>
      </c>
      <c r="I18" s="416">
        <v>200430</v>
      </c>
      <c r="J18" s="416">
        <v>167025</v>
      </c>
      <c r="K18" s="416">
        <v>0</v>
      </c>
      <c r="L18" s="416" t="s">
        <v>1153</v>
      </c>
      <c r="M18" s="416">
        <f>Tableau14[[#This Row],[cout TTC]]-Tableau14[[#This Row],[CDC]]-Tableau14[[#This Row],[Autres]]</f>
        <v>58486</v>
      </c>
      <c r="N18" s="472"/>
      <c r="O18" s="416"/>
      <c r="P18" s="423"/>
      <c r="Q18" s="423"/>
      <c r="R18" s="423"/>
      <c r="S18" s="423"/>
      <c r="T18" s="423"/>
      <c r="U18" s="423"/>
      <c r="V18" s="423"/>
      <c r="W18" s="423"/>
      <c r="X18" s="423"/>
      <c r="Y18" s="423"/>
      <c r="Z18" s="423"/>
      <c r="AA18" s="423"/>
      <c r="AB18" s="423"/>
      <c r="AC18" s="423"/>
      <c r="AD18" s="423"/>
      <c r="AE18" s="416"/>
      <c r="AF18" s="416">
        <v>58459</v>
      </c>
      <c r="AG18" s="416">
        <f>Tableau14[[#This Row],[CRIF]]+Tableau14[[#This Row],[ADEME]]</f>
        <v>83485</v>
      </c>
      <c r="AH18" s="473">
        <v>25000</v>
      </c>
      <c r="AI18" s="416">
        <v>58485</v>
      </c>
      <c r="AJ18" s="417"/>
      <c r="AK18" s="418"/>
    </row>
    <row r="19" spans="1:37" ht="51.75" customHeight="1" x14ac:dyDescent="0.25">
      <c r="A19" s="497" t="s">
        <v>763</v>
      </c>
      <c r="B19" s="497"/>
      <c r="C19" s="498"/>
      <c r="D19" s="498"/>
      <c r="E19" s="498"/>
      <c r="F19" s="498"/>
      <c r="G19" s="498"/>
      <c r="H19" s="499">
        <f>SUBTOTAL(109,Tableau14[cout HT])</f>
        <v>4048025</v>
      </c>
      <c r="I19" s="499">
        <f>SUBTOTAL(109,Tableau14[cout TTC])</f>
        <v>4857630.4000000004</v>
      </c>
      <c r="J19" s="499">
        <f>SUBTOTAL(109,Tableau14[Base de financement])</f>
        <v>4048025</v>
      </c>
      <c r="K19" s="499">
        <f>SUBTOTAL(109,Tableau14[Subvention ANRU (total des lignes)])</f>
        <v>1489500</v>
      </c>
      <c r="L19" s="499"/>
      <c r="M19" s="499">
        <f>SUBTOTAL(109,Tableau14[Villes])</f>
        <v>58486</v>
      </c>
      <c r="N19" s="499">
        <f>SUBTOTAL(109,Tableau14[Plaine Commune])</f>
        <v>1778416</v>
      </c>
      <c r="O19" s="499">
        <f>SUBTOTAL(109,Tableau14[Bailleurs])</f>
        <v>199583</v>
      </c>
      <c r="P19" s="499">
        <f>SUBTOTAL(109,Tableau14[LOGIREP])</f>
        <v>5250</v>
      </c>
      <c r="Q19" s="499">
        <f>SUBTOTAL(109,Tableau14[SOHP])</f>
        <v>35621</v>
      </c>
      <c r="R19" s="499">
        <f>SUBTOTAL(109,Tableau14[SEMISO])</f>
        <v>1537</v>
      </c>
      <c r="S19" s="499">
        <f>SUBTOTAL(109,Tableau14[OPH93])</f>
        <v>41250</v>
      </c>
      <c r="T19" s="499">
        <f>SUBTOTAL(109,Tableau14[PCH])</f>
        <v>43966</v>
      </c>
      <c r="U19" s="499">
        <f>SUBTOTAL(109,Tableau14[ICF la Sablière])</f>
        <v>5906</v>
      </c>
      <c r="V19" s="499">
        <f>SUBTOTAL(109,Tableau14[SARVILEP])</f>
        <v>7160</v>
      </c>
      <c r="W19" s="499">
        <f>SUBTOTAL(109,Tableau14[OPIEVOY])</f>
        <v>1306</v>
      </c>
      <c r="X19" s="499">
        <f>SUBTOTAL(109,Tableau14[SAIEM])</f>
        <v>854</v>
      </c>
      <c r="Y19" s="499">
        <f>SUBTOTAL(109,Tableau14[Maison du CIL])</f>
        <v>1601</v>
      </c>
      <c r="Z19" s="499">
        <f>SUBTOTAL(109,Tableau14[NOVIGERE])</f>
        <v>579</v>
      </c>
      <c r="AA19" s="499">
        <f>SUBTOTAL(109,Tableau14[Logement Francilien])</f>
        <v>2867</v>
      </c>
      <c r="AB19" s="499">
        <f>SUBTOTAL(109,Tableau14[ANTIN])</f>
        <v>5969</v>
      </c>
      <c r="AC19" s="499">
        <f>SUBTOTAL(109,Tableau14[OGIF])</f>
        <v>18344</v>
      </c>
      <c r="AD19" s="499">
        <f>SUBTOTAL(109,Tableau14[Toit et Joie])</f>
        <v>2375</v>
      </c>
      <c r="AE19" s="499">
        <f>SUBTOTAL(109,Tableau14[France Habitation])</f>
        <v>15000</v>
      </c>
      <c r="AF19" s="499">
        <f>SUBTOTAL(109,Tableau14[CDC])</f>
        <v>471959</v>
      </c>
      <c r="AG19" s="499">
        <f>SUBTOTAL(109,Tableau14[Autres])</f>
        <v>83485</v>
      </c>
      <c r="AH19" s="499"/>
      <c r="AI19" s="499">
        <f>SUBTOTAL(109,Tableau14[ADEME])</f>
        <v>58485</v>
      </c>
      <c r="AJ19" s="498"/>
      <c r="AK19" s="498">
        <f>SUBTOTAL(109,Tableau14[Durée de l''opération en mois])</f>
        <v>300</v>
      </c>
    </row>
    <row r="20" spans="1:37" ht="60" customHeight="1" x14ac:dyDescent="0.25">
      <c r="P20" s="500">
        <f>SUM(P9:AE9)</f>
        <v>37001</v>
      </c>
      <c r="AE20" s="200"/>
    </row>
  </sheetData>
  <pageMargins left="0.7" right="0.7" top="0.24" bottom="0.75" header="0.3" footer="0.3"/>
  <pageSetup paperSize="8" scale="2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6"/>
  <sheetViews>
    <sheetView tabSelected="1" zoomScale="73" zoomScaleNormal="73" workbookViewId="0">
      <selection activeCell="U8" sqref="U8"/>
    </sheetView>
  </sheetViews>
  <sheetFormatPr baseColWidth="10" defaultColWidth="9.140625" defaultRowHeight="20.100000000000001" customHeight="1" x14ac:dyDescent="0.25"/>
  <cols>
    <col min="1" max="1" width="23.42578125" style="5" customWidth="1"/>
    <col min="2" max="2" width="25.85546875" style="5" bestFit="1" customWidth="1"/>
    <col min="3" max="3" width="20" style="5" bestFit="1" customWidth="1"/>
    <col min="4" max="4" width="37" style="5" bestFit="1" customWidth="1"/>
    <col min="5" max="5" width="25" style="5" bestFit="1" customWidth="1"/>
    <col min="6" max="6" width="15.28515625" style="5" bestFit="1" customWidth="1"/>
    <col min="7" max="7" width="57.7109375" style="5" bestFit="1" customWidth="1"/>
    <col min="8" max="8" width="60.5703125" style="404" customWidth="1"/>
    <col min="9" max="9" width="47" style="5" hidden="1" customWidth="1"/>
    <col min="10" max="11" width="18.5703125" style="5" hidden="1" customWidth="1"/>
    <col min="12" max="12" width="52.85546875" style="5" bestFit="1" customWidth="1"/>
    <col min="13" max="13" width="12.85546875" style="5" bestFit="1" customWidth="1"/>
    <col min="14" max="14" width="3.5703125" style="5" customWidth="1"/>
    <col min="15" max="15" width="4.7109375" style="5" customWidth="1"/>
    <col min="16" max="16" width="36.28515625" style="5" customWidth="1"/>
    <col min="17" max="17" width="16.42578125" style="468" customWidth="1"/>
    <col min="18" max="18" width="18.42578125" style="5" customWidth="1"/>
    <col min="19" max="19" width="17" style="5" customWidth="1"/>
    <col min="20" max="20" width="17.7109375" style="5" customWidth="1"/>
    <col min="21" max="21" width="27.7109375" style="404" customWidth="1"/>
    <col min="22" max="22" width="19.140625" style="5" customWidth="1"/>
    <col min="23" max="23" width="18.28515625" style="404" customWidth="1"/>
    <col min="24" max="24" width="17.42578125" style="5" customWidth="1"/>
    <col min="25" max="25" width="19.28515625" style="5" hidden="1" customWidth="1"/>
    <col min="26" max="26" width="27.140625" style="5" hidden="1" customWidth="1"/>
    <col min="27" max="27" width="13.85546875" style="5" bestFit="1" customWidth="1"/>
    <col min="28" max="28" width="12" style="5" bestFit="1" customWidth="1"/>
    <col min="29" max="29" width="12.28515625" style="5" bestFit="1" customWidth="1"/>
    <col min="30" max="30" width="13.42578125" style="5" bestFit="1" customWidth="1"/>
    <col min="31" max="31" width="16.5703125" style="5" bestFit="1" customWidth="1"/>
    <col min="32" max="32" width="22" style="5" bestFit="1" customWidth="1"/>
    <col min="33" max="33" width="13" style="5" bestFit="1" customWidth="1"/>
    <col min="34" max="34" width="10.5703125" style="5" bestFit="1" customWidth="1"/>
    <col min="35" max="35" width="25" style="5" bestFit="1" customWidth="1"/>
    <col min="36" max="36" width="11.42578125" style="5" bestFit="1" customWidth="1"/>
    <col min="37" max="37" width="19.85546875" style="5" bestFit="1" customWidth="1"/>
    <col min="38" max="38" width="16.42578125" style="5" bestFit="1" customWidth="1"/>
    <col min="39" max="39" width="19.140625" style="5" bestFit="1" customWidth="1"/>
    <col min="40" max="40" width="20.85546875" style="5" bestFit="1" customWidth="1"/>
    <col min="41" max="41" width="14.85546875" style="5" bestFit="1" customWidth="1"/>
    <col min="42" max="42" width="12.7109375" style="5" bestFit="1" customWidth="1"/>
    <col min="43" max="43" width="22.42578125" style="5" bestFit="1" customWidth="1"/>
    <col min="44" max="44" width="11" style="5" bestFit="1" customWidth="1"/>
    <col min="45" max="45" width="14.140625" style="5" bestFit="1" customWidth="1"/>
    <col min="46" max="46" width="17.42578125" style="5" customWidth="1"/>
    <col min="47" max="47" width="11.85546875" style="5" bestFit="1" customWidth="1"/>
    <col min="48" max="48" width="11.42578125" style="404" customWidth="1"/>
    <col min="49" max="49" width="13.140625" style="5" customWidth="1"/>
    <col min="50" max="50" width="15.28515625" style="5" bestFit="1" customWidth="1"/>
    <col min="51" max="51" width="14.85546875" style="5" bestFit="1" customWidth="1"/>
    <col min="52" max="52" width="37.42578125" style="5" bestFit="1" customWidth="1"/>
    <col min="53" max="53" width="18.7109375" style="5" bestFit="1" customWidth="1"/>
    <col min="54" max="54" width="14.5703125" style="5" bestFit="1" customWidth="1"/>
    <col min="55" max="55" width="23.140625" style="5" bestFit="1" customWidth="1"/>
    <col min="56" max="56" width="22.5703125" style="5" bestFit="1" customWidth="1"/>
    <col min="57" max="57" width="16.42578125" style="5" bestFit="1" customWidth="1"/>
    <col min="58" max="58" width="12.140625" style="5" bestFit="1" customWidth="1"/>
    <col min="59" max="59" width="27.7109375" style="5" hidden="1" customWidth="1"/>
    <col min="60" max="60" width="28.28515625" style="5" hidden="1" customWidth="1"/>
    <col min="61" max="61" width="33.85546875" style="5" bestFit="1" customWidth="1"/>
    <col min="62" max="62" width="33" bestFit="1" customWidth="1"/>
    <col min="63" max="63" width="18.7109375" bestFit="1" customWidth="1"/>
    <col min="64" max="64" width="21" bestFit="1" customWidth="1"/>
    <col min="65" max="16384" width="9.140625" style="5"/>
  </cols>
  <sheetData>
    <row r="1" spans="1:64" s="10" customFormat="1" ht="31.5" customHeight="1" x14ac:dyDescent="0.25">
      <c r="A1" s="10" t="s">
        <v>0</v>
      </c>
      <c r="B1" s="10" t="s">
        <v>1</v>
      </c>
      <c r="C1" s="10" t="s">
        <v>2</v>
      </c>
      <c r="D1" s="10" t="s">
        <v>3</v>
      </c>
      <c r="E1" s="10" t="s">
        <v>4</v>
      </c>
      <c r="F1" s="10" t="s">
        <v>5</v>
      </c>
      <c r="G1" s="10" t="s">
        <v>6</v>
      </c>
      <c r="H1" s="459" t="s">
        <v>7</v>
      </c>
      <c r="I1" s="10" t="s">
        <v>8</v>
      </c>
      <c r="J1" s="10" t="s">
        <v>9</v>
      </c>
      <c r="K1" s="10" t="s">
        <v>10</v>
      </c>
      <c r="L1" s="10" t="s">
        <v>11</v>
      </c>
      <c r="M1" s="10" t="s">
        <v>12</v>
      </c>
      <c r="N1" s="10" t="s">
        <v>13</v>
      </c>
      <c r="O1" s="10" t="s">
        <v>14</v>
      </c>
      <c r="P1" s="10" t="s">
        <v>15</v>
      </c>
      <c r="Q1" s="464" t="s">
        <v>16</v>
      </c>
      <c r="R1" s="11" t="s">
        <v>17</v>
      </c>
      <c r="S1" s="11" t="s">
        <v>18</v>
      </c>
      <c r="T1" s="11" t="s">
        <v>19</v>
      </c>
      <c r="U1" s="459" t="s">
        <v>20</v>
      </c>
      <c r="V1" s="11" t="s">
        <v>21</v>
      </c>
      <c r="W1" s="470" t="s">
        <v>22</v>
      </c>
      <c r="X1" s="11" t="s">
        <v>23</v>
      </c>
      <c r="Y1" s="12" t="s">
        <v>267</v>
      </c>
      <c r="Z1" s="12" t="s">
        <v>693</v>
      </c>
      <c r="AA1" s="12" t="s">
        <v>1091</v>
      </c>
      <c r="AB1" s="12" t="s">
        <v>589</v>
      </c>
      <c r="AC1" s="12" t="s">
        <v>411</v>
      </c>
      <c r="AD1" s="12" t="s">
        <v>523</v>
      </c>
      <c r="AE1" s="12" t="s">
        <v>780</v>
      </c>
      <c r="AF1" s="12" t="s">
        <v>779</v>
      </c>
      <c r="AG1" s="12" t="s">
        <v>776</v>
      </c>
      <c r="AH1" s="12" t="s">
        <v>456</v>
      </c>
      <c r="AI1" s="12" t="s">
        <v>323</v>
      </c>
      <c r="AJ1" s="12" t="s">
        <v>317</v>
      </c>
      <c r="AK1" s="12" t="s">
        <v>310</v>
      </c>
      <c r="AL1" s="12" t="s">
        <v>285</v>
      </c>
      <c r="AM1" s="12" t="s">
        <v>280</v>
      </c>
      <c r="AN1" s="12" t="s">
        <v>1061</v>
      </c>
      <c r="AO1" s="12" t="s">
        <v>775</v>
      </c>
      <c r="AP1" s="12" t="s">
        <v>1096</v>
      </c>
      <c r="AQ1" s="12" t="s">
        <v>57</v>
      </c>
      <c r="AR1" s="12" t="s">
        <v>117</v>
      </c>
      <c r="AS1" s="12" t="s">
        <v>774</v>
      </c>
      <c r="AT1" s="11" t="s">
        <v>24</v>
      </c>
      <c r="AU1" s="11" t="s">
        <v>25</v>
      </c>
      <c r="AV1" s="459" t="s">
        <v>26</v>
      </c>
      <c r="AW1" s="10" t="s">
        <v>27</v>
      </c>
      <c r="AX1" s="10" t="s">
        <v>28</v>
      </c>
      <c r="AY1" s="12" t="s">
        <v>1363</v>
      </c>
      <c r="AZ1" s="12" t="s">
        <v>373</v>
      </c>
      <c r="BA1" s="12" t="s">
        <v>1371</v>
      </c>
      <c r="BB1" s="12" t="s">
        <v>1370</v>
      </c>
      <c r="BC1" s="12" t="s">
        <v>1368</v>
      </c>
      <c r="BD1" s="12" t="s">
        <v>1369</v>
      </c>
      <c r="BE1" s="12" t="s">
        <v>1365</v>
      </c>
      <c r="BF1" s="12" t="s">
        <v>1364</v>
      </c>
      <c r="BG1" s="10" t="s">
        <v>29</v>
      </c>
      <c r="BH1" s="10" t="s">
        <v>30</v>
      </c>
      <c r="BI1" s="10" t="s">
        <v>31</v>
      </c>
      <c r="BJ1" s="10" t="s">
        <v>32</v>
      </c>
      <c r="BK1" s="10" t="s">
        <v>1366</v>
      </c>
      <c r="BL1" s="12" t="s">
        <v>1367</v>
      </c>
    </row>
    <row r="2" spans="1:64" ht="20.100000000000001" customHeight="1" x14ac:dyDescent="0.25">
      <c r="A2" s="264" t="s">
        <v>33</v>
      </c>
      <c r="B2" s="264" t="s">
        <v>34</v>
      </c>
      <c r="C2" s="346" t="s">
        <v>1170</v>
      </c>
      <c r="D2" s="264" t="s">
        <v>35</v>
      </c>
      <c r="E2" s="264" t="s">
        <v>36</v>
      </c>
      <c r="F2" s="264" t="s">
        <v>37</v>
      </c>
      <c r="G2" s="264"/>
      <c r="H2" s="460" t="s">
        <v>38</v>
      </c>
      <c r="I2" s="264" t="s">
        <v>39</v>
      </c>
      <c r="J2" s="264" t="s">
        <v>40</v>
      </c>
      <c r="K2" s="264" t="s">
        <v>41</v>
      </c>
      <c r="L2" s="264" t="s">
        <v>22</v>
      </c>
      <c r="M2" s="264"/>
      <c r="N2" s="264"/>
      <c r="O2" s="264" t="s">
        <v>42</v>
      </c>
      <c r="P2" s="264" t="s">
        <v>43</v>
      </c>
      <c r="Q2" s="405">
        <v>150000</v>
      </c>
      <c r="R2" s="265">
        <v>180000</v>
      </c>
      <c r="S2" s="265">
        <v>150000</v>
      </c>
      <c r="T2" s="265">
        <v>60000</v>
      </c>
      <c r="U2" s="265" t="s">
        <v>44</v>
      </c>
      <c r="V2" s="265">
        <v>0</v>
      </c>
      <c r="W2" s="265">
        <v>37500</v>
      </c>
      <c r="X2" s="265">
        <v>37500</v>
      </c>
      <c r="Y2" s="265"/>
      <c r="Z2" s="265"/>
      <c r="AA2" s="265"/>
      <c r="AB2" s="265"/>
      <c r="AC2" s="265"/>
      <c r="AD2" s="265"/>
      <c r="AE2" s="265"/>
      <c r="AF2" s="265"/>
      <c r="AG2" s="265"/>
      <c r="AH2" s="265"/>
      <c r="AI2" s="265"/>
      <c r="AJ2" s="265"/>
      <c r="AK2" s="265"/>
      <c r="AL2" s="265"/>
      <c r="AM2" s="265"/>
      <c r="AN2" s="265"/>
      <c r="AO2" s="265"/>
      <c r="AP2" s="265"/>
      <c r="AQ2" s="265">
        <f>Tableau1[[#This Row],[Bailleurs]]</f>
        <v>37500</v>
      </c>
      <c r="AR2" s="265"/>
      <c r="AS2" s="265"/>
      <c r="AT2" s="265">
        <v>15000</v>
      </c>
      <c r="AU2" s="265">
        <v>0</v>
      </c>
      <c r="AV2" s="265">
        <v>0</v>
      </c>
      <c r="AW2" s="265">
        <v>0</v>
      </c>
      <c r="AX2" s="265">
        <v>0</v>
      </c>
      <c r="BG2" s="8">
        <v>42430</v>
      </c>
      <c r="BH2" s="5">
        <v>16</v>
      </c>
      <c r="BI2" s="5">
        <v>0</v>
      </c>
      <c r="BJ2" s="5">
        <v>0</v>
      </c>
      <c r="BK2" s="5">
        <f>Tableau1[[#This Row],[Base de financement]]-Tableau1[[#This Row],[Subvention ANRU]]-Tableau1[[#This Row],[Ville]]-Tableau1[[#This Row],[Plaine Commune]]-Tableau1[[#This Row],[Bailleurs]]-Tableau1[[#This Row],[CDC]]-Tableau1[[#This Row],[CD93]]-Tableau1[[#This Row],[CRIF]]-Tableau1[[#This Row],[Europe]]-Tableau1[[#This Row],[Autres]]</f>
        <v>0</v>
      </c>
      <c r="BL2" s="412">
        <f>S2-T2-V2-W2-Y2-Z2-AA2-AB2-AC2-AD2-AE2-AF2-AG2-AH2-AI2-AJ2-AK2-AL2-AM2-AN2-AO2-AP2-AQ2-AR2-AS2-AT2-AU2-AV2-AW2-AY2-BE2-BF2-Tableau1[[#This Row],[Ville de Pantin ]]-Tableau1[[#This Row],[Est-Ensemble ]]-Tableau1[[#This Row],[ASGO]]</f>
        <v>0</v>
      </c>
    </row>
    <row r="3" spans="1:64" ht="20.100000000000001" hidden="1" customHeight="1" x14ac:dyDescent="0.25">
      <c r="A3" s="5" t="s">
        <v>33</v>
      </c>
      <c r="B3" s="5" t="s">
        <v>56</v>
      </c>
      <c r="C3" s="14" t="s">
        <v>1173</v>
      </c>
      <c r="D3" s="5" t="s">
        <v>35</v>
      </c>
      <c r="E3" s="5" t="s">
        <v>57</v>
      </c>
      <c r="F3" s="5" t="s">
        <v>37</v>
      </c>
      <c r="G3" s="5" t="s">
        <v>58</v>
      </c>
      <c r="H3" s="404" t="s">
        <v>59</v>
      </c>
      <c r="I3" s="5" t="s">
        <v>60</v>
      </c>
      <c r="J3" s="5" t="s">
        <v>53</v>
      </c>
      <c r="K3" s="5" t="s">
        <v>61</v>
      </c>
      <c r="L3" s="5" t="s">
        <v>54</v>
      </c>
      <c r="O3" s="5" t="s">
        <v>42</v>
      </c>
      <c r="P3" s="5" t="s">
        <v>62</v>
      </c>
      <c r="Q3" s="227">
        <v>100000</v>
      </c>
      <c r="R3" s="7">
        <v>120000</v>
      </c>
      <c r="S3" s="7">
        <v>100000</v>
      </c>
      <c r="T3" s="7">
        <v>50000</v>
      </c>
      <c r="U3" s="7"/>
      <c r="V3" s="7">
        <v>0</v>
      </c>
      <c r="W3" s="7">
        <v>0</v>
      </c>
      <c r="X3" s="7">
        <v>50000</v>
      </c>
      <c r="Y3" s="7"/>
      <c r="Z3" s="7"/>
      <c r="AA3" s="7"/>
      <c r="AB3" s="7"/>
      <c r="AC3" s="7"/>
      <c r="AD3" s="7"/>
      <c r="AE3" s="7"/>
      <c r="AF3" s="7"/>
      <c r="AG3" s="7"/>
      <c r="AH3" s="7"/>
      <c r="AI3" s="7"/>
      <c r="AJ3" s="7"/>
      <c r="AK3" s="7"/>
      <c r="AL3" s="7"/>
      <c r="AM3" s="7"/>
      <c r="AN3" s="7"/>
      <c r="AO3" s="7"/>
      <c r="AP3" s="7"/>
      <c r="AQ3" s="7">
        <f>Tableau1[[#This Row],[Bailleurs]]</f>
        <v>50000</v>
      </c>
      <c r="AR3" s="7"/>
      <c r="AS3" s="7"/>
      <c r="AT3" s="7">
        <v>0</v>
      </c>
      <c r="AU3" s="7">
        <v>0</v>
      </c>
      <c r="AV3" s="7">
        <v>0</v>
      </c>
      <c r="AW3" s="7">
        <v>0</v>
      </c>
      <c r="AX3" s="7">
        <v>0</v>
      </c>
      <c r="BG3" s="8">
        <v>42552</v>
      </c>
      <c r="BH3" s="5">
        <v>3</v>
      </c>
      <c r="BI3" s="5">
        <v>1576</v>
      </c>
      <c r="BJ3" s="5">
        <v>0</v>
      </c>
      <c r="BK3" s="5">
        <f>Tableau1[[#This Row],[Base de financement]]-Tableau1[[#This Row],[Subvention ANRU]]-Tableau1[[#This Row],[Ville]]-Tableau1[[#This Row],[Plaine Commune]]-Tableau1[[#This Row],[Bailleurs]]-Tableau1[[#This Row],[CDC]]-Tableau1[[#This Row],[CD93]]-Tableau1[[#This Row],[CRIF]]-Tableau1[[#This Row],[Europe]]-Tableau1[[#This Row],[Autres]]</f>
        <v>0</v>
      </c>
      <c r="BL3" s="412">
        <f>S3-T3-V3-W3-Y3-Z3-AA3-AB3-AC3-AD3-AE3-AF3-AG3-AH3-AI3-AJ3-AK3-AL3-AM3-AN3-AO3-AP3-AQ3-AR3-AS3-AT3-AU3-AV3-AW3-AY3-BE3-BF3-Tableau1[[#This Row],[Ville de Pantin ]]-Tableau1[[#This Row],[Est-Ensemble ]]-Tableau1[[#This Row],[ASGO]]</f>
        <v>0</v>
      </c>
    </row>
    <row r="4" spans="1:64" ht="20.100000000000001" hidden="1" customHeight="1" x14ac:dyDescent="0.25">
      <c r="A4" s="5" t="s">
        <v>33</v>
      </c>
      <c r="B4" s="5" t="s">
        <v>63</v>
      </c>
      <c r="C4" s="14" t="s">
        <v>1173</v>
      </c>
      <c r="D4" s="5" t="s">
        <v>35</v>
      </c>
      <c r="E4" s="5" t="s">
        <v>57</v>
      </c>
      <c r="F4" s="5" t="s">
        <v>37</v>
      </c>
      <c r="G4" s="5" t="s">
        <v>58</v>
      </c>
      <c r="H4" s="404" t="s">
        <v>64</v>
      </c>
      <c r="I4" s="5" t="s">
        <v>60</v>
      </c>
      <c r="J4" s="5" t="s">
        <v>53</v>
      </c>
      <c r="K4" s="5" t="s">
        <v>61</v>
      </c>
      <c r="L4" s="5" t="s">
        <v>54</v>
      </c>
      <c r="O4" s="5" t="s">
        <v>42</v>
      </c>
      <c r="P4" s="5" t="s">
        <v>65</v>
      </c>
      <c r="Q4" s="227">
        <v>20000</v>
      </c>
      <c r="R4" s="7">
        <v>24000</v>
      </c>
      <c r="S4" s="7">
        <v>20000</v>
      </c>
      <c r="T4" s="7">
        <v>10000</v>
      </c>
      <c r="U4" s="7"/>
      <c r="V4" s="7">
        <v>0</v>
      </c>
      <c r="W4" s="7">
        <v>0</v>
      </c>
      <c r="X4" s="7">
        <v>10000</v>
      </c>
      <c r="Y4" s="7"/>
      <c r="Z4" s="7"/>
      <c r="AA4" s="7"/>
      <c r="AB4" s="7"/>
      <c r="AC4" s="7"/>
      <c r="AD4" s="7"/>
      <c r="AE4" s="7"/>
      <c r="AF4" s="7"/>
      <c r="AG4" s="7"/>
      <c r="AH4" s="7"/>
      <c r="AI4" s="7"/>
      <c r="AJ4" s="7"/>
      <c r="AK4" s="7"/>
      <c r="AL4" s="7"/>
      <c r="AM4" s="7"/>
      <c r="AN4" s="7"/>
      <c r="AO4" s="7"/>
      <c r="AP4" s="7"/>
      <c r="AQ4" s="7">
        <f>Tableau1[[#This Row],[Bailleurs]]</f>
        <v>10000</v>
      </c>
      <c r="AR4" s="7"/>
      <c r="AS4" s="7"/>
      <c r="AT4" s="7">
        <v>0</v>
      </c>
      <c r="AU4" s="7">
        <v>0</v>
      </c>
      <c r="AV4" s="7">
        <v>0</v>
      </c>
      <c r="AW4" s="7">
        <v>0</v>
      </c>
      <c r="AX4" s="7">
        <v>0</v>
      </c>
      <c r="BG4" s="8">
        <v>42445</v>
      </c>
      <c r="BH4" s="5">
        <v>2</v>
      </c>
      <c r="BI4" s="5">
        <v>1576</v>
      </c>
      <c r="BJ4" s="5">
        <v>0</v>
      </c>
      <c r="BK4" s="5">
        <f>Tableau1[[#This Row],[Base de financement]]-Tableau1[[#This Row],[Subvention ANRU]]-Tableau1[[#This Row],[Ville]]-Tableau1[[#This Row],[Plaine Commune]]-Tableau1[[#This Row],[Bailleurs]]-Tableau1[[#This Row],[CDC]]-Tableau1[[#This Row],[CD93]]-Tableau1[[#This Row],[CRIF]]-Tableau1[[#This Row],[Europe]]-Tableau1[[#This Row],[Autres]]</f>
        <v>0</v>
      </c>
      <c r="BL4" s="412">
        <f>S4-T4-V4-W4-Y4-Z4-AA4-AB4-AC4-AD4-AE4-AF4-AG4-AH4-AI4-AJ4-AK4-AL4-AM4-AN4-AO4-AP4-AQ4-AR4-AS4-AT4-AU4-AV4-AW4-AY4-BE4-BF4-Tableau1[[#This Row],[Ville de Pantin ]]-Tableau1[[#This Row],[Est-Ensemble ]]-Tableau1[[#This Row],[ASGO]]</f>
        <v>0</v>
      </c>
    </row>
    <row r="5" spans="1:64" ht="20.100000000000001" hidden="1" customHeight="1" x14ac:dyDescent="0.25">
      <c r="A5" s="5" t="s">
        <v>33</v>
      </c>
      <c r="B5" s="5" t="s">
        <v>66</v>
      </c>
      <c r="C5" s="14" t="s">
        <v>1173</v>
      </c>
      <c r="D5" s="5" t="s">
        <v>35</v>
      </c>
      <c r="E5" s="5" t="s">
        <v>57</v>
      </c>
      <c r="F5" s="5" t="s">
        <v>37</v>
      </c>
      <c r="G5" s="5" t="s">
        <v>58</v>
      </c>
      <c r="H5" s="404" t="s">
        <v>67</v>
      </c>
      <c r="I5" s="5" t="s">
        <v>60</v>
      </c>
      <c r="J5" s="5" t="s">
        <v>68</v>
      </c>
      <c r="K5" s="5" t="s">
        <v>69</v>
      </c>
      <c r="L5" s="5" t="s">
        <v>54</v>
      </c>
      <c r="O5" s="5" t="s">
        <v>42</v>
      </c>
      <c r="P5" s="5" t="s">
        <v>70</v>
      </c>
      <c r="Q5" s="227">
        <v>5800</v>
      </c>
      <c r="R5" s="7">
        <v>6960</v>
      </c>
      <c r="S5" s="7">
        <v>5800</v>
      </c>
      <c r="T5" s="7">
        <v>2900</v>
      </c>
      <c r="U5" s="7"/>
      <c r="V5" s="7">
        <v>0</v>
      </c>
      <c r="W5" s="7">
        <v>0</v>
      </c>
      <c r="X5" s="7">
        <v>2900</v>
      </c>
      <c r="Y5" s="7"/>
      <c r="Z5" s="7"/>
      <c r="AA5" s="7"/>
      <c r="AB5" s="7"/>
      <c r="AC5" s="7"/>
      <c r="AD5" s="7"/>
      <c r="AE5" s="7"/>
      <c r="AF5" s="7"/>
      <c r="AG5" s="7"/>
      <c r="AH5" s="7"/>
      <c r="AI5" s="7"/>
      <c r="AJ5" s="7"/>
      <c r="AK5" s="7"/>
      <c r="AL5" s="7"/>
      <c r="AM5" s="7"/>
      <c r="AN5" s="7"/>
      <c r="AO5" s="7"/>
      <c r="AP5" s="7"/>
      <c r="AQ5" s="7">
        <f>Tableau1[[#This Row],[Bailleurs]]</f>
        <v>2900</v>
      </c>
      <c r="AR5" s="7"/>
      <c r="AS5" s="7"/>
      <c r="AT5" s="7">
        <v>0</v>
      </c>
      <c r="AU5" s="7">
        <v>0</v>
      </c>
      <c r="AV5" s="7">
        <v>0</v>
      </c>
      <c r="AW5" s="7">
        <v>0</v>
      </c>
      <c r="AX5" s="7">
        <v>0</v>
      </c>
      <c r="BG5" s="8">
        <v>42552</v>
      </c>
      <c r="BH5" s="5">
        <v>4</v>
      </c>
      <c r="BI5" s="5">
        <v>1576</v>
      </c>
      <c r="BJ5" s="5">
        <v>0</v>
      </c>
      <c r="BK5" s="5">
        <f>Tableau1[[#This Row],[Base de financement]]-Tableau1[[#This Row],[Subvention ANRU]]-Tableau1[[#This Row],[Ville]]-Tableau1[[#This Row],[Plaine Commune]]-Tableau1[[#This Row],[Bailleurs]]-Tableau1[[#This Row],[CDC]]-Tableau1[[#This Row],[CD93]]-Tableau1[[#This Row],[CRIF]]-Tableau1[[#This Row],[Europe]]-Tableau1[[#This Row],[Autres]]</f>
        <v>0</v>
      </c>
      <c r="BL5" s="412">
        <f>S5-T5-V5-W5-Y5-Z5-AA5-AB5-AC5-AD5-AE5-AF5-AG5-AH5-AI5-AJ5-AK5-AL5-AM5-AN5-AO5-AP5-AQ5-AR5-AS5-AT5-AU5-AV5-AW5-AY5-BE5-BF5-Tableau1[[#This Row],[Ville de Pantin ]]-Tableau1[[#This Row],[Est-Ensemble ]]-Tableau1[[#This Row],[ASGO]]</f>
        <v>0</v>
      </c>
    </row>
    <row r="6" spans="1:64" ht="20.100000000000001" hidden="1" customHeight="1" x14ac:dyDescent="0.25">
      <c r="A6" s="5" t="s">
        <v>33</v>
      </c>
      <c r="B6" s="5" t="s">
        <v>71</v>
      </c>
      <c r="C6" s="14" t="s">
        <v>1174</v>
      </c>
      <c r="D6" s="5" t="s">
        <v>35</v>
      </c>
      <c r="E6" s="5" t="s">
        <v>57</v>
      </c>
      <c r="F6" s="5" t="s">
        <v>37</v>
      </c>
      <c r="G6" s="5" t="s">
        <v>72</v>
      </c>
      <c r="H6" s="404" t="s">
        <v>73</v>
      </c>
      <c r="I6" s="5" t="s">
        <v>74</v>
      </c>
      <c r="J6" s="5" t="s">
        <v>53</v>
      </c>
      <c r="K6" s="5" t="s">
        <v>61</v>
      </c>
      <c r="L6" s="5" t="s">
        <v>54</v>
      </c>
      <c r="O6" s="5" t="s">
        <v>42</v>
      </c>
      <c r="P6" s="5" t="s">
        <v>75</v>
      </c>
      <c r="Q6" s="227">
        <v>80000</v>
      </c>
      <c r="R6" s="7">
        <v>96000</v>
      </c>
      <c r="S6" s="7">
        <v>80000</v>
      </c>
      <c r="T6" s="7">
        <v>40000</v>
      </c>
      <c r="U6" s="7"/>
      <c r="V6" s="7">
        <v>0</v>
      </c>
      <c r="W6" s="7">
        <v>0</v>
      </c>
      <c r="X6" s="7">
        <v>40000</v>
      </c>
      <c r="Y6" s="7"/>
      <c r="Z6" s="7"/>
      <c r="AA6" s="7"/>
      <c r="AB6" s="7"/>
      <c r="AC6" s="7"/>
      <c r="AD6" s="7"/>
      <c r="AE6" s="7"/>
      <c r="AF6" s="7"/>
      <c r="AG6" s="7"/>
      <c r="AH6" s="7"/>
      <c r="AI6" s="7"/>
      <c r="AJ6" s="7"/>
      <c r="AK6" s="7"/>
      <c r="AL6" s="7"/>
      <c r="AM6" s="7"/>
      <c r="AN6" s="7"/>
      <c r="AO6" s="7"/>
      <c r="AP6" s="7"/>
      <c r="AQ6" s="7">
        <f>Tableau1[[#This Row],[Bailleurs]]</f>
        <v>40000</v>
      </c>
      <c r="AR6" s="7"/>
      <c r="AS6" s="7"/>
      <c r="AT6" s="7">
        <v>0</v>
      </c>
      <c r="AU6" s="7">
        <v>0</v>
      </c>
      <c r="AV6" s="7">
        <v>0</v>
      </c>
      <c r="AW6" s="7">
        <v>0</v>
      </c>
      <c r="AX6" s="7">
        <v>0</v>
      </c>
      <c r="BG6" s="8">
        <v>42491</v>
      </c>
      <c r="BH6" s="5">
        <v>3</v>
      </c>
      <c r="BI6" s="5">
        <v>1576</v>
      </c>
      <c r="BJ6" s="5">
        <v>0</v>
      </c>
      <c r="BK6" s="5">
        <f>Tableau1[[#This Row],[Base de financement]]-Tableau1[[#This Row],[Subvention ANRU]]-Tableau1[[#This Row],[Ville]]-Tableau1[[#This Row],[Plaine Commune]]-Tableau1[[#This Row],[Bailleurs]]-Tableau1[[#This Row],[CDC]]-Tableau1[[#This Row],[CD93]]-Tableau1[[#This Row],[CRIF]]-Tableau1[[#This Row],[Europe]]-Tableau1[[#This Row],[Autres]]</f>
        <v>0</v>
      </c>
      <c r="BL6" s="412">
        <f>S6-T6-V6-W6-Y6-Z6-AA6-AB6-AC6-AD6-AE6-AF6-AG6-AH6-AI6-AJ6-AK6-AL6-AM6-AN6-AO6-AP6-AQ6-AR6-AS6-AT6-AU6-AV6-AW6-AY6-BE6-BF6-Tableau1[[#This Row],[Ville de Pantin ]]-Tableau1[[#This Row],[Est-Ensemble ]]-Tableau1[[#This Row],[ASGO]]</f>
        <v>0</v>
      </c>
    </row>
    <row r="7" spans="1:64" ht="20.100000000000001" hidden="1" customHeight="1" x14ac:dyDescent="0.25">
      <c r="A7" s="5" t="s">
        <v>33</v>
      </c>
      <c r="B7" s="5" t="s">
        <v>76</v>
      </c>
      <c r="C7" s="14" t="s">
        <v>1174</v>
      </c>
      <c r="D7" s="5" t="s">
        <v>35</v>
      </c>
      <c r="E7" s="5" t="s">
        <v>57</v>
      </c>
      <c r="F7" s="5" t="s">
        <v>37</v>
      </c>
      <c r="G7" s="5" t="s">
        <v>72</v>
      </c>
      <c r="H7" s="404" t="s">
        <v>77</v>
      </c>
      <c r="I7" s="5" t="s">
        <v>74</v>
      </c>
      <c r="J7" s="5" t="s">
        <v>53</v>
      </c>
      <c r="K7" s="5" t="s">
        <v>61</v>
      </c>
      <c r="L7" s="5" t="s">
        <v>54</v>
      </c>
      <c r="O7" s="5" t="s">
        <v>42</v>
      </c>
      <c r="P7" s="5" t="s">
        <v>78</v>
      </c>
      <c r="Q7" s="227">
        <v>70000</v>
      </c>
      <c r="R7" s="7">
        <v>84000</v>
      </c>
      <c r="S7" s="7">
        <v>70000</v>
      </c>
      <c r="T7" s="7">
        <v>35000</v>
      </c>
      <c r="U7" s="7"/>
      <c r="V7" s="7">
        <v>0</v>
      </c>
      <c r="W7" s="7">
        <v>0</v>
      </c>
      <c r="X7" s="7">
        <v>35000</v>
      </c>
      <c r="Y7" s="7"/>
      <c r="Z7" s="7"/>
      <c r="AA7" s="7"/>
      <c r="AB7" s="7"/>
      <c r="AC7" s="7"/>
      <c r="AD7" s="7"/>
      <c r="AE7" s="7"/>
      <c r="AF7" s="7"/>
      <c r="AG7" s="7"/>
      <c r="AH7" s="7"/>
      <c r="AI7" s="7"/>
      <c r="AJ7" s="7"/>
      <c r="AK7" s="7"/>
      <c r="AL7" s="7"/>
      <c r="AM7" s="7"/>
      <c r="AN7" s="7"/>
      <c r="AO7" s="7"/>
      <c r="AP7" s="7"/>
      <c r="AQ7" s="7">
        <f>Tableau1[[#This Row],[Bailleurs]]</f>
        <v>35000</v>
      </c>
      <c r="AR7" s="7"/>
      <c r="AS7" s="7"/>
      <c r="AT7" s="7">
        <v>0</v>
      </c>
      <c r="AU7" s="7">
        <v>0</v>
      </c>
      <c r="AV7" s="7">
        <v>0</v>
      </c>
      <c r="AW7" s="7">
        <v>0</v>
      </c>
      <c r="AX7" s="7">
        <v>0</v>
      </c>
      <c r="BG7" s="8">
        <v>42491</v>
      </c>
      <c r="BH7" s="5">
        <v>3</v>
      </c>
      <c r="BI7" s="5">
        <v>1576</v>
      </c>
      <c r="BJ7" s="5">
        <v>0</v>
      </c>
      <c r="BK7" s="5">
        <f>Tableau1[[#This Row],[Base de financement]]-Tableau1[[#This Row],[Subvention ANRU]]-Tableau1[[#This Row],[Ville]]-Tableau1[[#This Row],[Plaine Commune]]-Tableau1[[#This Row],[Bailleurs]]-Tableau1[[#This Row],[CDC]]-Tableau1[[#This Row],[CD93]]-Tableau1[[#This Row],[CRIF]]-Tableau1[[#This Row],[Europe]]-Tableau1[[#This Row],[Autres]]</f>
        <v>0</v>
      </c>
      <c r="BL7" s="412">
        <f>S7-T7-V7-W7-Y7-Z7-AA7-AB7-AC7-AD7-AE7-AF7-AG7-AH7-AI7-AJ7-AK7-AL7-AM7-AN7-AO7-AP7-AQ7-AR7-AS7-AT7-AU7-AV7-AW7-AY7-BE7-BF7-Tableau1[[#This Row],[Ville de Pantin ]]-Tableau1[[#This Row],[Est-Ensemble ]]-Tableau1[[#This Row],[ASGO]]</f>
        <v>0</v>
      </c>
    </row>
    <row r="8" spans="1:64" ht="33.75" customHeight="1" x14ac:dyDescent="0.25">
      <c r="A8" s="264" t="s">
        <v>33</v>
      </c>
      <c r="B8" s="264" t="s">
        <v>85</v>
      </c>
      <c r="C8" s="14" t="s">
        <v>1177</v>
      </c>
      <c r="D8" s="264" t="s">
        <v>35</v>
      </c>
      <c r="E8" s="264"/>
      <c r="F8" s="264" t="s">
        <v>37</v>
      </c>
      <c r="G8" s="264"/>
      <c r="H8" s="460" t="s">
        <v>86</v>
      </c>
      <c r="I8" s="264"/>
      <c r="J8" s="264" t="s">
        <v>68</v>
      </c>
      <c r="K8" s="264" t="s">
        <v>69</v>
      </c>
      <c r="L8" s="264" t="s">
        <v>22</v>
      </c>
      <c r="M8" s="264"/>
      <c r="N8" s="264" t="s">
        <v>42</v>
      </c>
      <c r="O8" s="264"/>
      <c r="P8" s="264" t="s">
        <v>87</v>
      </c>
      <c r="Q8" s="405">
        <v>144030</v>
      </c>
      <c r="R8" s="265">
        <f>Tableau1[[#This Row],[Coût HT]]*1.2</f>
        <v>172836</v>
      </c>
      <c r="S8" s="265">
        <v>144030</v>
      </c>
      <c r="T8" s="265">
        <v>0</v>
      </c>
      <c r="U8" s="265" t="s">
        <v>1396</v>
      </c>
      <c r="V8" s="265">
        <v>0</v>
      </c>
      <c r="W8" s="265">
        <f>40000+36018</f>
        <v>76018</v>
      </c>
      <c r="X8" s="265">
        <v>0</v>
      </c>
      <c r="Y8" s="265"/>
      <c r="Z8" s="265"/>
      <c r="AA8" s="265"/>
      <c r="AB8" s="265"/>
      <c r="AC8" s="265"/>
      <c r="AD8" s="265"/>
      <c r="AE8" s="265"/>
      <c r="AF8" s="265"/>
      <c r="AG8" s="265"/>
      <c r="AH8" s="265"/>
      <c r="AI8" s="265"/>
      <c r="AJ8" s="265"/>
      <c r="AK8" s="265"/>
      <c r="AL8" s="265"/>
      <c r="AM8" s="265"/>
      <c r="AN8" s="265"/>
      <c r="AO8" s="265"/>
      <c r="AP8" s="265"/>
      <c r="AQ8" s="265">
        <f>Tableau1[[#This Row],[Bailleurs]]</f>
        <v>0</v>
      </c>
      <c r="AR8" s="265"/>
      <c r="AS8" s="265"/>
      <c r="AT8" s="265">
        <v>8000</v>
      </c>
      <c r="AU8" s="265">
        <v>0</v>
      </c>
      <c r="AV8" s="265">
        <v>0</v>
      </c>
      <c r="AW8" s="265">
        <v>0</v>
      </c>
      <c r="AX8" s="265">
        <v>60012.5</v>
      </c>
      <c r="AY8" s="265">
        <v>53687</v>
      </c>
      <c r="AZ8" s="265"/>
      <c r="BA8" s="265"/>
      <c r="BB8" s="265"/>
      <c r="BC8" s="265"/>
      <c r="BD8" s="265"/>
      <c r="BG8" s="8">
        <v>42445</v>
      </c>
      <c r="BH8" s="5">
        <v>16</v>
      </c>
      <c r="BI8" s="5">
        <v>80</v>
      </c>
      <c r="BJ8" s="5">
        <v>0</v>
      </c>
      <c r="BK8" s="5">
        <f>Tableau1[[#This Row],[Base de financement]]-Tableau1[[#This Row],[Subvention ANRU]]-Tableau1[[#This Row],[Ville]]-Tableau1[[#This Row],[Plaine Commune]]-Tableau1[[#This Row],[Bailleurs]]-Tableau1[[#This Row],[CDC]]-Tableau1[[#This Row],[CD93]]-Tableau1[[#This Row],[CRIF]]-Tableau1[[#This Row],[Europe]]-Tableau1[[#This Row],[Autres]]</f>
        <v>-0.5</v>
      </c>
      <c r="BL8" s="412">
        <f>S8-T8-V8-W8-Y8-Z8-AA8-AB8-AC8-AD8-AE8-AF8-AG8-AH8-AI8-AJ8-AK8-AL8-AM8-AN8-AO8-AP8-AQ8-AR8-AS8-AT8-AU8-AV8-AW8-AY8-BE8-BF8-Tableau1[[#This Row],[Ville de Pantin ]]-Tableau1[[#This Row],[Est-Ensemble ]]-Tableau1[[#This Row],[ASGO]]</f>
        <v>6325</v>
      </c>
    </row>
    <row r="9" spans="1:64" ht="20.100000000000001" hidden="1" customHeight="1" x14ac:dyDescent="0.25">
      <c r="A9" s="5" t="s">
        <v>33</v>
      </c>
      <c r="B9" s="5" t="s">
        <v>96</v>
      </c>
      <c r="C9" s="14" t="s">
        <v>1179</v>
      </c>
      <c r="D9" s="5" t="s">
        <v>35</v>
      </c>
      <c r="F9" s="5" t="s">
        <v>37</v>
      </c>
      <c r="H9" s="404" t="s">
        <v>97</v>
      </c>
      <c r="J9" s="5" t="s">
        <v>68</v>
      </c>
      <c r="K9" s="5" t="s">
        <v>69</v>
      </c>
      <c r="L9" s="5" t="s">
        <v>54</v>
      </c>
      <c r="O9" s="5" t="s">
        <v>42</v>
      </c>
      <c r="P9" s="5" t="s">
        <v>98</v>
      </c>
      <c r="Q9" s="227">
        <v>50000</v>
      </c>
      <c r="R9" s="7">
        <v>60000</v>
      </c>
      <c r="S9" s="7">
        <v>50000</v>
      </c>
      <c r="T9" s="7">
        <v>25000</v>
      </c>
      <c r="U9" s="7"/>
      <c r="V9" s="7">
        <v>0</v>
      </c>
      <c r="W9" s="7">
        <v>0</v>
      </c>
      <c r="X9" s="7">
        <v>25000</v>
      </c>
      <c r="Y9" s="7"/>
      <c r="Z9" s="7"/>
      <c r="AA9" s="7"/>
      <c r="AB9" s="7"/>
      <c r="AC9" s="7"/>
      <c r="AD9" s="7"/>
      <c r="AE9" s="7"/>
      <c r="AF9" s="7"/>
      <c r="AG9" s="7"/>
      <c r="AH9" s="7"/>
      <c r="AI9" s="7"/>
      <c r="AJ9" s="7"/>
      <c r="AK9" s="7"/>
      <c r="AL9" s="7"/>
      <c r="AM9" s="7"/>
      <c r="AN9" s="7"/>
      <c r="AO9" s="7"/>
      <c r="AP9" s="7"/>
      <c r="AQ9" s="7">
        <f>Tableau1[[#This Row],[Bailleurs]]</f>
        <v>25000</v>
      </c>
      <c r="AR9" s="7"/>
      <c r="AS9" s="7"/>
      <c r="AT9" s="7">
        <v>0</v>
      </c>
      <c r="AU9" s="7">
        <v>0</v>
      </c>
      <c r="AV9" s="7">
        <v>0</v>
      </c>
      <c r="AW9" s="7">
        <v>0</v>
      </c>
      <c r="AX9" s="7">
        <v>0</v>
      </c>
      <c r="BG9" s="8">
        <v>42445</v>
      </c>
      <c r="BH9" s="5">
        <v>5</v>
      </c>
      <c r="BI9" s="5">
        <v>893</v>
      </c>
      <c r="BJ9" s="5">
        <v>0</v>
      </c>
      <c r="BK9" s="5">
        <f>Tableau1[[#This Row],[Base de financement]]-Tableau1[[#This Row],[Subvention ANRU]]-Tableau1[[#This Row],[Ville]]-Tableau1[[#This Row],[Plaine Commune]]-Tableau1[[#This Row],[Bailleurs]]-Tableau1[[#This Row],[CDC]]-Tableau1[[#This Row],[CD93]]-Tableau1[[#This Row],[CRIF]]-Tableau1[[#This Row],[Europe]]-Tableau1[[#This Row],[Autres]]</f>
        <v>0</v>
      </c>
      <c r="BL9" s="412">
        <f>S9-T9-V9-W9-Y9-Z9-AA9-AB9-AC9-AD9-AE9-AF9-AG9-AH9-AI9-AJ9-AK9-AL9-AM9-AN9-AO9-AP9-AQ9-AR9-AS9-AT9-AU9-AV9-AW9-AY9-BE9-BF9-Tableau1[[#This Row],[Ville de Pantin ]]-Tableau1[[#This Row],[Est-Ensemble ]]-Tableau1[[#This Row],[ASGO]]</f>
        <v>0</v>
      </c>
    </row>
    <row r="10" spans="1:64" ht="20.100000000000001" hidden="1" customHeight="1" x14ac:dyDescent="0.25">
      <c r="A10" s="5" t="s">
        <v>33</v>
      </c>
      <c r="B10" s="5" t="s">
        <v>99</v>
      </c>
      <c r="C10" s="14" t="s">
        <v>1180</v>
      </c>
      <c r="D10" s="5" t="s">
        <v>35</v>
      </c>
      <c r="F10" s="5" t="s">
        <v>37</v>
      </c>
      <c r="H10" s="404" t="s">
        <v>100</v>
      </c>
      <c r="J10" s="5" t="s">
        <v>40</v>
      </c>
      <c r="K10" s="5" t="s">
        <v>69</v>
      </c>
      <c r="L10" s="5" t="s">
        <v>54</v>
      </c>
      <c r="O10" s="5" t="s">
        <v>42</v>
      </c>
      <c r="P10" s="5" t="s">
        <v>101</v>
      </c>
      <c r="Q10" s="227">
        <v>50000</v>
      </c>
      <c r="R10" s="7">
        <v>60000</v>
      </c>
      <c r="S10" s="7">
        <v>50000</v>
      </c>
      <c r="T10" s="7">
        <v>25000</v>
      </c>
      <c r="U10" s="7"/>
      <c r="V10" s="7">
        <v>0</v>
      </c>
      <c r="W10" s="7">
        <v>0</v>
      </c>
      <c r="X10" s="7">
        <v>25000</v>
      </c>
      <c r="Y10" s="7"/>
      <c r="Z10" s="7"/>
      <c r="AA10" s="7"/>
      <c r="AB10" s="7"/>
      <c r="AC10" s="7"/>
      <c r="AD10" s="7"/>
      <c r="AE10" s="7"/>
      <c r="AF10" s="7"/>
      <c r="AG10" s="7"/>
      <c r="AH10" s="7"/>
      <c r="AI10" s="7"/>
      <c r="AJ10" s="7"/>
      <c r="AK10" s="7"/>
      <c r="AL10" s="7"/>
      <c r="AM10" s="7"/>
      <c r="AN10" s="7"/>
      <c r="AO10" s="7"/>
      <c r="AP10" s="7"/>
      <c r="AQ10" s="7">
        <f>Tableau1[[#This Row],[Bailleurs]]</f>
        <v>25000</v>
      </c>
      <c r="AR10" s="7"/>
      <c r="AS10" s="7"/>
      <c r="AT10" s="7">
        <v>0</v>
      </c>
      <c r="AU10" s="7">
        <v>0</v>
      </c>
      <c r="AV10" s="7">
        <v>0</v>
      </c>
      <c r="AW10" s="7">
        <v>0</v>
      </c>
      <c r="AX10" s="7">
        <v>0</v>
      </c>
      <c r="BG10" s="8">
        <v>42445</v>
      </c>
      <c r="BH10" s="5">
        <v>15</v>
      </c>
      <c r="BI10" s="5">
        <v>0</v>
      </c>
      <c r="BJ10" s="5">
        <v>0</v>
      </c>
      <c r="BK10" s="5">
        <f>Tableau1[[#This Row],[Base de financement]]-Tableau1[[#This Row],[Subvention ANRU]]-Tableau1[[#This Row],[Ville]]-Tableau1[[#This Row],[Plaine Commune]]-Tableau1[[#This Row],[Bailleurs]]-Tableau1[[#This Row],[CDC]]-Tableau1[[#This Row],[CD93]]-Tableau1[[#This Row],[CRIF]]-Tableau1[[#This Row],[Europe]]-Tableau1[[#This Row],[Autres]]</f>
        <v>0</v>
      </c>
      <c r="BL10" s="412">
        <f>S10-T10-V10-W10-Y10-Z10-AA10-AB10-AC10-AD10-AE10-AF10-AG10-AH10-AI10-AJ10-AK10-AL10-AM10-AN10-AO10-AP10-AQ10-AR10-AS10-AT10-AU10-AV10-AW10-AY10-BE10-BF10-Tableau1[[#This Row],[Ville de Pantin ]]-Tableau1[[#This Row],[Est-Ensemble ]]-Tableau1[[#This Row],[ASGO]]</f>
        <v>0</v>
      </c>
    </row>
    <row r="11" spans="1:64" ht="20.100000000000001" hidden="1" customHeight="1" x14ac:dyDescent="0.25">
      <c r="A11" s="5" t="s">
        <v>33</v>
      </c>
      <c r="B11" s="5" t="s">
        <v>105</v>
      </c>
      <c r="C11" s="14" t="s">
        <v>1182</v>
      </c>
      <c r="D11" s="5" t="s">
        <v>35</v>
      </c>
      <c r="F11" s="5" t="s">
        <v>37</v>
      </c>
      <c r="H11" s="404" t="s">
        <v>106</v>
      </c>
      <c r="J11" s="5" t="s">
        <v>53</v>
      </c>
      <c r="K11" s="5" t="s">
        <v>61</v>
      </c>
      <c r="L11" s="5" t="s">
        <v>54</v>
      </c>
      <c r="O11" s="5" t="s">
        <v>42</v>
      </c>
      <c r="P11" s="5" t="s">
        <v>107</v>
      </c>
      <c r="Q11" s="227">
        <v>120000</v>
      </c>
      <c r="R11" s="7">
        <v>144000</v>
      </c>
      <c r="S11" s="7">
        <v>120000</v>
      </c>
      <c r="T11" s="7">
        <v>60000</v>
      </c>
      <c r="U11" s="7"/>
      <c r="V11" s="7">
        <v>0</v>
      </c>
      <c r="W11" s="7">
        <v>0</v>
      </c>
      <c r="X11" s="7">
        <v>60000</v>
      </c>
      <c r="Y11" s="7"/>
      <c r="Z11" s="7"/>
      <c r="AA11" s="7"/>
      <c r="AB11" s="7"/>
      <c r="AC11" s="7"/>
      <c r="AD11" s="7"/>
      <c r="AE11" s="7"/>
      <c r="AF11" s="7"/>
      <c r="AG11" s="7"/>
      <c r="AH11" s="7"/>
      <c r="AI11" s="7"/>
      <c r="AJ11" s="7"/>
      <c r="AK11" s="7"/>
      <c r="AL11" s="7"/>
      <c r="AM11" s="7"/>
      <c r="AN11" s="7"/>
      <c r="AO11" s="7"/>
      <c r="AP11" s="7"/>
      <c r="AQ11" s="7">
        <f>Tableau1[[#This Row],[Bailleurs]]</f>
        <v>60000</v>
      </c>
      <c r="AR11" s="7"/>
      <c r="AS11" s="7"/>
      <c r="AT11" s="7">
        <v>0</v>
      </c>
      <c r="AU11" s="7">
        <v>0</v>
      </c>
      <c r="AV11" s="7">
        <v>0</v>
      </c>
      <c r="AW11" s="7">
        <v>0</v>
      </c>
      <c r="AX11" s="7">
        <v>0</v>
      </c>
      <c r="BG11" s="8">
        <v>42491</v>
      </c>
      <c r="BH11" s="5">
        <v>3</v>
      </c>
      <c r="BI11" s="5">
        <v>0</v>
      </c>
      <c r="BJ11" s="5">
        <v>0</v>
      </c>
      <c r="BK11" s="5">
        <f>Tableau1[[#This Row],[Base de financement]]-Tableau1[[#This Row],[Subvention ANRU]]-Tableau1[[#This Row],[Ville]]-Tableau1[[#This Row],[Plaine Commune]]-Tableau1[[#This Row],[Bailleurs]]-Tableau1[[#This Row],[CDC]]-Tableau1[[#This Row],[CD93]]-Tableau1[[#This Row],[CRIF]]-Tableau1[[#This Row],[Europe]]-Tableau1[[#This Row],[Autres]]</f>
        <v>0</v>
      </c>
      <c r="BL11" s="412">
        <f>S11-T11-V11-W11-Y11-Z11-AA11-AB11-AC11-AD11-AE11-AF11-AG11-AH11-AI11-AJ11-AK11-AL11-AM11-AN11-AO11-AP11-AQ11-AR11-AS11-AT11-AU11-AV11-AW11-AY11-BE11-BF11-Tableau1[[#This Row],[Ville de Pantin ]]-Tableau1[[#This Row],[Est-Ensemble ]]-Tableau1[[#This Row],[ASGO]]</f>
        <v>0</v>
      </c>
    </row>
    <row r="12" spans="1:64" ht="20.100000000000001" hidden="1" customHeight="1" x14ac:dyDescent="0.25">
      <c r="A12" s="5" t="s">
        <v>33</v>
      </c>
      <c r="B12" s="5" t="s">
        <v>108</v>
      </c>
      <c r="C12" s="14" t="s">
        <v>1183</v>
      </c>
      <c r="D12" s="5" t="s">
        <v>35</v>
      </c>
      <c r="F12" s="5" t="s">
        <v>37</v>
      </c>
      <c r="H12" s="404" t="s">
        <v>109</v>
      </c>
      <c r="J12" s="5" t="s">
        <v>68</v>
      </c>
      <c r="K12" s="5" t="s">
        <v>69</v>
      </c>
      <c r="L12" s="5" t="s">
        <v>54</v>
      </c>
      <c r="O12" s="5" t="s">
        <v>42</v>
      </c>
      <c r="P12" s="5" t="s">
        <v>110</v>
      </c>
      <c r="Q12" s="227">
        <v>50000</v>
      </c>
      <c r="R12" s="7">
        <v>60000</v>
      </c>
      <c r="S12" s="7">
        <v>50000</v>
      </c>
      <c r="T12" s="7">
        <v>25000</v>
      </c>
      <c r="U12" s="7"/>
      <c r="V12" s="7">
        <v>0</v>
      </c>
      <c r="W12" s="7">
        <v>0</v>
      </c>
      <c r="X12" s="7">
        <v>25000</v>
      </c>
      <c r="Y12" s="7"/>
      <c r="Z12" s="7"/>
      <c r="AA12" s="7"/>
      <c r="AB12" s="7"/>
      <c r="AC12" s="7"/>
      <c r="AD12" s="7"/>
      <c r="AE12" s="7"/>
      <c r="AF12" s="7"/>
      <c r="AG12" s="7"/>
      <c r="AH12" s="7"/>
      <c r="AI12" s="7"/>
      <c r="AJ12" s="7"/>
      <c r="AK12" s="7"/>
      <c r="AL12" s="7"/>
      <c r="AM12" s="7"/>
      <c r="AN12" s="7"/>
      <c r="AO12" s="7"/>
      <c r="AP12" s="7"/>
      <c r="AQ12" s="7">
        <f>Tableau1[[#This Row],[Bailleurs]]</f>
        <v>25000</v>
      </c>
      <c r="AR12" s="7"/>
      <c r="AS12" s="7"/>
      <c r="AT12" s="7">
        <v>0</v>
      </c>
      <c r="AU12" s="7">
        <v>0</v>
      </c>
      <c r="AV12" s="7">
        <v>0</v>
      </c>
      <c r="AW12" s="7">
        <v>0</v>
      </c>
      <c r="AX12" s="7">
        <v>0</v>
      </c>
      <c r="BG12" s="8">
        <v>42436</v>
      </c>
      <c r="BH12" s="5">
        <v>16</v>
      </c>
      <c r="BI12" s="5">
        <v>893</v>
      </c>
      <c r="BJ12" s="5">
        <v>0</v>
      </c>
      <c r="BK12" s="5">
        <f>Tableau1[[#This Row],[Base de financement]]-Tableau1[[#This Row],[Subvention ANRU]]-Tableau1[[#This Row],[Ville]]-Tableau1[[#This Row],[Plaine Commune]]-Tableau1[[#This Row],[Bailleurs]]-Tableau1[[#This Row],[CDC]]-Tableau1[[#This Row],[CD93]]-Tableau1[[#This Row],[CRIF]]-Tableau1[[#This Row],[Europe]]-Tableau1[[#This Row],[Autres]]</f>
        <v>0</v>
      </c>
      <c r="BL12" s="412">
        <f>S12-T12-V12-W12-Y12-Z12-AA12-AB12-AC12-AD12-AE12-AF12-AG12-AH12-AI12-AJ12-AK12-AL12-AM12-AN12-AO12-AP12-AQ12-AR12-AS12-AT12-AU12-AV12-AW12-AY12-BE12-BF12-Tableau1[[#This Row],[Ville de Pantin ]]-Tableau1[[#This Row],[Est-Ensemble ]]-Tableau1[[#This Row],[ASGO]]</f>
        <v>0</v>
      </c>
    </row>
    <row r="13" spans="1:64" ht="20.100000000000001" hidden="1" customHeight="1" x14ac:dyDescent="0.25">
      <c r="A13" s="5" t="s">
        <v>33</v>
      </c>
      <c r="B13" s="5" t="s">
        <v>111</v>
      </c>
      <c r="C13" s="14" t="s">
        <v>1184</v>
      </c>
      <c r="D13" s="5" t="s">
        <v>35</v>
      </c>
      <c r="F13" s="5" t="s">
        <v>37</v>
      </c>
      <c r="H13" s="404" t="s">
        <v>112</v>
      </c>
      <c r="J13" s="5" t="s">
        <v>113</v>
      </c>
      <c r="K13" s="5" t="s">
        <v>113</v>
      </c>
      <c r="L13" s="5" t="s">
        <v>48</v>
      </c>
      <c r="N13" s="5" t="s">
        <v>42</v>
      </c>
      <c r="P13" s="5" t="s">
        <v>114</v>
      </c>
      <c r="Q13" s="227">
        <v>66668</v>
      </c>
      <c r="R13" s="7">
        <v>80001.600000000006</v>
      </c>
      <c r="S13" s="7">
        <v>66668</v>
      </c>
      <c r="T13" s="7">
        <v>33334</v>
      </c>
      <c r="U13" s="7"/>
      <c r="V13" s="7">
        <v>16667</v>
      </c>
      <c r="W13" s="7">
        <v>8000.16</v>
      </c>
      <c r="X13" s="7">
        <v>8666.84</v>
      </c>
      <c r="Y13" s="7"/>
      <c r="Z13" s="7"/>
      <c r="AA13" s="7"/>
      <c r="AB13" s="7"/>
      <c r="AC13" s="7"/>
      <c r="AD13" s="7"/>
      <c r="AE13" s="7"/>
      <c r="AF13" s="7"/>
      <c r="AG13" s="7"/>
      <c r="AH13" s="7"/>
      <c r="AI13" s="7"/>
      <c r="AJ13" s="7"/>
      <c r="AK13" s="7"/>
      <c r="AL13" s="7"/>
      <c r="AM13" s="7"/>
      <c r="AN13" s="7"/>
      <c r="AO13" s="7"/>
      <c r="AP13" s="7"/>
      <c r="AQ13" s="7">
        <f>Tableau1[[#This Row],[Bailleurs]]</f>
        <v>8666.84</v>
      </c>
      <c r="AR13" s="7"/>
      <c r="AS13" s="7"/>
      <c r="AT13" s="7">
        <v>0</v>
      </c>
      <c r="AU13" s="7">
        <v>0</v>
      </c>
      <c r="AV13" s="7">
        <v>0</v>
      </c>
      <c r="AW13" s="7">
        <v>0</v>
      </c>
      <c r="AX13" s="7">
        <v>0</v>
      </c>
      <c r="BG13" s="8">
        <v>42491</v>
      </c>
      <c r="BH13" s="5">
        <v>16</v>
      </c>
      <c r="BI13" s="5">
        <v>0</v>
      </c>
      <c r="BJ13" s="5">
        <v>0</v>
      </c>
      <c r="BK13" s="5">
        <f>Tableau1[[#This Row],[Base de financement]]-Tableau1[[#This Row],[Subvention ANRU]]-Tableau1[[#This Row],[Ville]]-Tableau1[[#This Row],[Plaine Commune]]-Tableau1[[#This Row],[Bailleurs]]-Tableau1[[#This Row],[CDC]]-Tableau1[[#This Row],[CD93]]-Tableau1[[#This Row],[CRIF]]-Tableau1[[#This Row],[Europe]]-Tableau1[[#This Row],[Autres]]</f>
        <v>0</v>
      </c>
      <c r="BL13" s="412">
        <f>S13-T13-V13-W13-Y13-Z13-AA13-AB13-AC13-AD13-AE13-AF13-AG13-AH13-AI13-AJ13-AK13-AL13-AM13-AN13-AO13-AP13-AQ13-AR13-AS13-AT13-AU13-AV13-AW13-AY13-BE13-BF13-Tableau1[[#This Row],[Ville de Pantin ]]-Tableau1[[#This Row],[Est-Ensemble ]]-Tableau1[[#This Row],[ASGO]]</f>
        <v>0</v>
      </c>
    </row>
    <row r="14" spans="1:64" ht="20.100000000000001" hidden="1" customHeight="1" x14ac:dyDescent="0.25">
      <c r="A14" s="5" t="s">
        <v>33</v>
      </c>
      <c r="B14" s="5" t="s">
        <v>115</v>
      </c>
      <c r="C14" s="14" t="s">
        <v>1185</v>
      </c>
      <c r="D14" s="5" t="s">
        <v>35</v>
      </c>
      <c r="F14" s="5" t="s">
        <v>37</v>
      </c>
      <c r="H14" s="404" t="s">
        <v>116</v>
      </c>
      <c r="J14" s="5" t="s">
        <v>40</v>
      </c>
      <c r="K14" s="5" t="s">
        <v>41</v>
      </c>
      <c r="L14" s="5" t="s">
        <v>117</v>
      </c>
      <c r="O14" s="5" t="s">
        <v>42</v>
      </c>
      <c r="P14" s="5" t="s">
        <v>118</v>
      </c>
      <c r="Q14" s="227">
        <v>20000</v>
      </c>
      <c r="R14" s="7">
        <v>24000</v>
      </c>
      <c r="S14" s="7">
        <v>20000</v>
      </c>
      <c r="T14" s="7">
        <v>10000</v>
      </c>
      <c r="U14" s="7" t="s">
        <v>119</v>
      </c>
      <c r="V14" s="7">
        <v>0</v>
      </c>
      <c r="W14" s="7">
        <v>0</v>
      </c>
      <c r="X14" s="7">
        <v>10000</v>
      </c>
      <c r="Y14" s="7"/>
      <c r="Z14" s="7"/>
      <c r="AA14" s="7"/>
      <c r="AB14" s="7"/>
      <c r="AC14" s="7"/>
      <c r="AD14" s="7"/>
      <c r="AE14" s="7"/>
      <c r="AF14" s="7"/>
      <c r="AG14" s="7"/>
      <c r="AH14" s="7"/>
      <c r="AI14" s="7"/>
      <c r="AJ14" s="7"/>
      <c r="AK14" s="7"/>
      <c r="AL14" s="7"/>
      <c r="AM14" s="7"/>
      <c r="AN14" s="7"/>
      <c r="AO14" s="7"/>
      <c r="AP14" s="7"/>
      <c r="AQ14" s="7"/>
      <c r="AR14" s="7">
        <v>10000</v>
      </c>
      <c r="AS14" s="7"/>
      <c r="AT14" s="7">
        <v>0</v>
      </c>
      <c r="AU14" s="7">
        <v>0</v>
      </c>
      <c r="AV14" s="7">
        <v>0</v>
      </c>
      <c r="AW14" s="7">
        <v>0</v>
      </c>
      <c r="AX14" s="7">
        <v>0</v>
      </c>
      <c r="BG14" s="8">
        <v>42436</v>
      </c>
      <c r="BH14" s="5">
        <v>8</v>
      </c>
      <c r="BI14" s="5">
        <v>364</v>
      </c>
      <c r="BJ14" s="5">
        <v>0</v>
      </c>
      <c r="BK14" s="5">
        <f>Tableau1[[#This Row],[Base de financement]]-Tableau1[[#This Row],[Subvention ANRU]]-Tableau1[[#This Row],[Ville]]-Tableau1[[#This Row],[Plaine Commune]]-Tableau1[[#This Row],[Bailleurs]]-Tableau1[[#This Row],[CDC]]-Tableau1[[#This Row],[CD93]]-Tableau1[[#This Row],[CRIF]]-Tableau1[[#This Row],[Europe]]-Tableau1[[#This Row],[Autres]]</f>
        <v>0</v>
      </c>
      <c r="BL14" s="412">
        <f>S14-T14-V14-W14-Y14-Z14-AA14-AB14-AC14-AD14-AE14-AF14-AG14-AH14-AI14-AJ14-AK14-AL14-AM14-AN14-AO14-AP14-AQ14-AR14-AS14-AT14-AU14-AV14-AW14-AY14-BE14-BF14-Tableau1[[#This Row],[Ville de Pantin ]]-Tableau1[[#This Row],[Est-Ensemble ]]-Tableau1[[#This Row],[ASGO]]</f>
        <v>0</v>
      </c>
    </row>
    <row r="15" spans="1:64" ht="20.100000000000001" hidden="1" customHeight="1" x14ac:dyDescent="0.25">
      <c r="A15" s="5" t="s">
        <v>33</v>
      </c>
      <c r="B15" s="5" t="s">
        <v>450</v>
      </c>
      <c r="C15" s="14" t="s">
        <v>1186</v>
      </c>
      <c r="D15" s="5" t="s">
        <v>35</v>
      </c>
      <c r="F15" s="5" t="s">
        <v>37</v>
      </c>
      <c r="H15" s="404" t="s">
        <v>451</v>
      </c>
      <c r="J15" s="5" t="s">
        <v>68</v>
      </c>
      <c r="K15" s="5" t="s">
        <v>69</v>
      </c>
      <c r="L15" s="5" t="s">
        <v>452</v>
      </c>
      <c r="O15" s="5" t="s">
        <v>42</v>
      </c>
      <c r="P15" s="5" t="s">
        <v>453</v>
      </c>
      <c r="Q15" s="227">
        <v>45000</v>
      </c>
      <c r="R15" s="7">
        <v>54000</v>
      </c>
      <c r="S15" s="7">
        <v>45000</v>
      </c>
      <c r="T15" s="7">
        <v>22500</v>
      </c>
      <c r="U15" s="7" t="s">
        <v>454</v>
      </c>
      <c r="V15" s="7">
        <v>0</v>
      </c>
      <c r="W15" s="7">
        <v>0</v>
      </c>
      <c r="X15" s="7">
        <v>22500</v>
      </c>
      <c r="Y15" s="7"/>
      <c r="Z15" s="7"/>
      <c r="AA15" s="7"/>
      <c r="AB15" s="7"/>
      <c r="AC15" s="7"/>
      <c r="AD15" s="7"/>
      <c r="AE15" s="7"/>
      <c r="AF15" s="7"/>
      <c r="AG15" s="7"/>
      <c r="AH15" s="7"/>
      <c r="AI15" s="7"/>
      <c r="AJ15" s="7"/>
      <c r="AK15" s="7"/>
      <c r="AL15" s="7"/>
      <c r="AM15" s="7"/>
      <c r="AN15" s="7"/>
      <c r="AO15" s="7"/>
      <c r="AP15" s="7"/>
      <c r="AQ15" s="7"/>
      <c r="AR15" s="7"/>
      <c r="AS15" s="7">
        <v>22500</v>
      </c>
      <c r="AT15" s="7">
        <v>0</v>
      </c>
      <c r="AU15" s="7">
        <v>0</v>
      </c>
      <c r="AV15" s="7">
        <v>0</v>
      </c>
      <c r="AW15" s="7">
        <v>0</v>
      </c>
      <c r="AX15" s="7">
        <v>0</v>
      </c>
      <c r="BG15" s="8">
        <v>42430</v>
      </c>
      <c r="BH15" s="5">
        <v>12</v>
      </c>
      <c r="BI15" s="5">
        <v>0</v>
      </c>
      <c r="BJ15" s="5">
        <v>241</v>
      </c>
      <c r="BK15" s="5">
        <f>Tableau1[[#This Row],[Base de financement]]-Tableau1[[#This Row],[Subvention ANRU]]-Tableau1[[#This Row],[Ville]]-Tableau1[[#This Row],[Plaine Commune]]-Tableau1[[#This Row],[Bailleurs]]-Tableau1[[#This Row],[CDC]]-Tableau1[[#This Row],[CD93]]-Tableau1[[#This Row],[CRIF]]-Tableau1[[#This Row],[Europe]]-Tableau1[[#This Row],[Autres]]</f>
        <v>0</v>
      </c>
      <c r="BL15" s="412">
        <f>S15-T15-V15-W15-Y15-Z15-AA15-AB15-AC15-AD15-AE15-AF15-AG15-AH15-AI15-AJ15-AK15-AL15-AM15-AN15-AO15-AP15-AQ15-AR15-AS15-AT15-AU15-AV15-AW15-AY15-BE15-BF15-Tableau1[[#This Row],[Ville de Pantin ]]-Tableau1[[#This Row],[Est-Ensemble ]]-Tableau1[[#This Row],[ASGO]]</f>
        <v>0</v>
      </c>
    </row>
    <row r="16" spans="1:64" ht="20.100000000000001" hidden="1" customHeight="1" x14ac:dyDescent="0.25">
      <c r="A16" s="5" t="s">
        <v>33</v>
      </c>
      <c r="B16" s="5" t="s">
        <v>45</v>
      </c>
      <c r="C16" s="14" t="s">
        <v>1171</v>
      </c>
      <c r="D16" s="14" t="s">
        <v>1018</v>
      </c>
      <c r="F16" s="5" t="s">
        <v>37</v>
      </c>
      <c r="H16" s="404" t="s">
        <v>46</v>
      </c>
      <c r="J16" s="5" t="s">
        <v>40</v>
      </c>
      <c r="K16" s="5" t="s">
        <v>47</v>
      </c>
      <c r="L16" s="5" t="s">
        <v>48</v>
      </c>
      <c r="O16" s="5" t="s">
        <v>42</v>
      </c>
      <c r="P16" s="5" t="s">
        <v>49</v>
      </c>
      <c r="Q16" s="227">
        <v>83334</v>
      </c>
      <c r="R16" s="7">
        <v>100000.8</v>
      </c>
      <c r="S16" s="7">
        <v>83334</v>
      </c>
      <c r="T16" s="7">
        <v>27500.22</v>
      </c>
      <c r="U16" s="7" t="s">
        <v>50</v>
      </c>
      <c r="V16" s="7">
        <v>55833.78</v>
      </c>
      <c r="W16" s="7">
        <v>0</v>
      </c>
      <c r="X16" s="7">
        <v>0</v>
      </c>
      <c r="Y16" s="7"/>
      <c r="Z16" s="7"/>
      <c r="AA16" s="7"/>
      <c r="AB16" s="7"/>
      <c r="AC16" s="7"/>
      <c r="AD16" s="7"/>
      <c r="AE16" s="7"/>
      <c r="AF16" s="7"/>
      <c r="AG16" s="7"/>
      <c r="AH16" s="7"/>
      <c r="AI16" s="7"/>
      <c r="AJ16" s="7"/>
      <c r="AK16" s="7"/>
      <c r="AL16" s="7"/>
      <c r="AM16" s="7"/>
      <c r="AN16" s="7"/>
      <c r="AO16" s="7"/>
      <c r="AP16" s="7"/>
      <c r="AQ16" s="7">
        <f>Tableau1[[#This Row],[Bailleurs]]</f>
        <v>0</v>
      </c>
      <c r="AR16" s="7"/>
      <c r="AS16" s="7"/>
      <c r="AT16" s="7">
        <v>0</v>
      </c>
      <c r="AU16" s="7">
        <v>0</v>
      </c>
      <c r="AV16" s="7">
        <v>0</v>
      </c>
      <c r="AW16" s="7">
        <v>0</v>
      </c>
      <c r="AX16" s="7">
        <v>0</v>
      </c>
      <c r="BG16" s="8">
        <v>42445</v>
      </c>
      <c r="BH16" s="5">
        <v>7</v>
      </c>
      <c r="BI16" s="5">
        <v>0</v>
      </c>
      <c r="BJ16" s="5">
        <v>0</v>
      </c>
      <c r="BK16" s="5">
        <f>Tableau1[[#This Row],[Base de financement]]-Tableau1[[#This Row],[Subvention ANRU]]-Tableau1[[#This Row],[Ville]]-Tableau1[[#This Row],[Plaine Commune]]-Tableau1[[#This Row],[Bailleurs]]-Tableau1[[#This Row],[CDC]]-Tableau1[[#This Row],[CD93]]-Tableau1[[#This Row],[CRIF]]-Tableau1[[#This Row],[Europe]]-Tableau1[[#This Row],[Autres]]</f>
        <v>0</v>
      </c>
      <c r="BL16" s="412">
        <f>S16-T16-V16-W16-Y16-Z16-AA16-AB16-AC16-AD16-AE16-AF16-AG16-AH16-AI16-AJ16-AK16-AL16-AM16-AN16-AO16-AP16-AQ16-AR16-AS16-AT16-AU16-AV16-AW16-AY16-BE16-BF16-Tableau1[[#This Row],[Ville de Pantin ]]-Tableau1[[#This Row],[Est-Ensemble ]]-Tableau1[[#This Row],[ASGO]]</f>
        <v>0</v>
      </c>
    </row>
    <row r="17" spans="1:64" ht="20.100000000000001" hidden="1" customHeight="1" x14ac:dyDescent="0.25">
      <c r="A17" s="5" t="s">
        <v>33</v>
      </c>
      <c r="B17" s="5" t="s">
        <v>51</v>
      </c>
      <c r="C17" s="14" t="s">
        <v>1172</v>
      </c>
      <c r="D17" s="14" t="s">
        <v>1018</v>
      </c>
      <c r="F17" s="5" t="s">
        <v>37</v>
      </c>
      <c r="H17" s="404" t="s">
        <v>52</v>
      </c>
      <c r="J17" s="5" t="s">
        <v>53</v>
      </c>
      <c r="K17" s="5" t="s">
        <v>47</v>
      </c>
      <c r="L17" s="5" t="s">
        <v>54</v>
      </c>
      <c r="O17" s="5" t="s">
        <v>42</v>
      </c>
      <c r="P17" s="5" t="s">
        <v>55</v>
      </c>
      <c r="Q17" s="227">
        <v>20000</v>
      </c>
      <c r="R17" s="7">
        <v>24000</v>
      </c>
      <c r="S17" s="7">
        <v>20000</v>
      </c>
      <c r="T17" s="7">
        <v>10000</v>
      </c>
      <c r="U17" s="7"/>
      <c r="V17" s="7">
        <v>0</v>
      </c>
      <c r="W17" s="7">
        <v>0</v>
      </c>
      <c r="X17" s="7">
        <v>10000</v>
      </c>
      <c r="Y17" s="7"/>
      <c r="Z17" s="7"/>
      <c r="AA17" s="7"/>
      <c r="AB17" s="7"/>
      <c r="AC17" s="7"/>
      <c r="AD17" s="7"/>
      <c r="AE17" s="7"/>
      <c r="AF17" s="7"/>
      <c r="AG17" s="7"/>
      <c r="AH17" s="7"/>
      <c r="AI17" s="7"/>
      <c r="AJ17" s="7"/>
      <c r="AK17" s="7"/>
      <c r="AL17" s="7"/>
      <c r="AM17" s="7"/>
      <c r="AN17" s="7"/>
      <c r="AO17" s="7"/>
      <c r="AP17" s="7"/>
      <c r="AQ17" s="7">
        <f>Tableau1[[#This Row],[Bailleurs]]</f>
        <v>10000</v>
      </c>
      <c r="AR17" s="7"/>
      <c r="AS17" s="7"/>
      <c r="AT17" s="7">
        <v>0</v>
      </c>
      <c r="AU17" s="7">
        <v>0</v>
      </c>
      <c r="AV17" s="7">
        <v>0</v>
      </c>
      <c r="AW17" s="7">
        <v>0</v>
      </c>
      <c r="AX17" s="7">
        <v>0</v>
      </c>
      <c r="BG17" s="8">
        <v>42445</v>
      </c>
      <c r="BH17" s="5">
        <v>2</v>
      </c>
      <c r="BI17" s="5">
        <v>0</v>
      </c>
      <c r="BJ17" s="5">
        <v>0</v>
      </c>
      <c r="BK17" s="5">
        <f>Tableau1[[#This Row],[Base de financement]]-Tableau1[[#This Row],[Subvention ANRU]]-Tableau1[[#This Row],[Ville]]-Tableau1[[#This Row],[Plaine Commune]]-Tableau1[[#This Row],[Bailleurs]]-Tableau1[[#This Row],[CDC]]-Tableau1[[#This Row],[CD93]]-Tableau1[[#This Row],[CRIF]]-Tableau1[[#This Row],[Europe]]-Tableau1[[#This Row],[Autres]]</f>
        <v>0</v>
      </c>
      <c r="BL17" s="412">
        <f>S17-T17-V17-W17-Y17-Z17-AA17-AB17-AC17-AD17-AE17-AF17-AG17-AH17-AI17-AJ17-AK17-AL17-AM17-AN17-AO17-AP17-AQ17-AR17-AS17-AT17-AU17-AV17-AW17-AY17-BE17-BF17-Tableau1[[#This Row],[Ville de Pantin ]]-Tableau1[[#This Row],[Est-Ensemble ]]-Tableau1[[#This Row],[ASGO]]</f>
        <v>0</v>
      </c>
    </row>
    <row r="18" spans="1:64" ht="20.100000000000001" hidden="1" customHeight="1" x14ac:dyDescent="0.25">
      <c r="A18" s="5" t="s">
        <v>33</v>
      </c>
      <c r="B18" s="5" t="s">
        <v>79</v>
      </c>
      <c r="C18" s="14" t="s">
        <v>1175</v>
      </c>
      <c r="D18" s="14" t="s">
        <v>1018</v>
      </c>
      <c r="F18" s="5" t="s">
        <v>37</v>
      </c>
      <c r="H18" s="404" t="s">
        <v>80</v>
      </c>
      <c r="J18" s="5" t="s">
        <v>53</v>
      </c>
      <c r="K18" s="5" t="s">
        <v>47</v>
      </c>
      <c r="L18" s="5" t="s">
        <v>48</v>
      </c>
      <c r="O18" s="5" t="s">
        <v>42</v>
      </c>
      <c r="P18" s="5" t="s">
        <v>81</v>
      </c>
      <c r="Q18" s="227">
        <v>40000</v>
      </c>
      <c r="R18" s="7">
        <v>48000</v>
      </c>
      <c r="S18" s="7">
        <v>40000</v>
      </c>
      <c r="T18" s="7">
        <v>20000</v>
      </c>
      <c r="U18" s="7"/>
      <c r="V18" s="7">
        <v>20000</v>
      </c>
      <c r="W18" s="7">
        <v>0</v>
      </c>
      <c r="X18" s="7">
        <v>0</v>
      </c>
      <c r="Y18" s="7"/>
      <c r="Z18" s="7"/>
      <c r="AA18" s="7"/>
      <c r="AB18" s="7"/>
      <c r="AC18" s="7"/>
      <c r="AD18" s="7"/>
      <c r="AE18" s="7"/>
      <c r="AF18" s="7"/>
      <c r="AG18" s="7"/>
      <c r="AH18" s="7"/>
      <c r="AI18" s="7"/>
      <c r="AJ18" s="7"/>
      <c r="AK18" s="7"/>
      <c r="AL18" s="7"/>
      <c r="AM18" s="7"/>
      <c r="AN18" s="7"/>
      <c r="AO18" s="7"/>
      <c r="AP18" s="7"/>
      <c r="AQ18" s="7">
        <f>Tableau1[[#This Row],[Bailleurs]]</f>
        <v>0</v>
      </c>
      <c r="AR18" s="7"/>
      <c r="AS18" s="7"/>
      <c r="AT18" s="7">
        <v>0</v>
      </c>
      <c r="AU18" s="7">
        <v>0</v>
      </c>
      <c r="AV18" s="7">
        <v>0</v>
      </c>
      <c r="AW18" s="7">
        <v>0</v>
      </c>
      <c r="AX18" s="7">
        <v>0</v>
      </c>
      <c r="BG18" s="8">
        <v>42491</v>
      </c>
      <c r="BH18" s="5">
        <v>3</v>
      </c>
      <c r="BI18" s="5">
        <v>0</v>
      </c>
      <c r="BJ18" s="5">
        <v>0</v>
      </c>
      <c r="BK18" s="5">
        <f>Tableau1[[#This Row],[Base de financement]]-Tableau1[[#This Row],[Subvention ANRU]]-Tableau1[[#This Row],[Ville]]-Tableau1[[#This Row],[Plaine Commune]]-Tableau1[[#This Row],[Bailleurs]]-Tableau1[[#This Row],[CDC]]-Tableau1[[#This Row],[CD93]]-Tableau1[[#This Row],[CRIF]]-Tableau1[[#This Row],[Europe]]-Tableau1[[#This Row],[Autres]]</f>
        <v>0</v>
      </c>
      <c r="BL18" s="412">
        <f>S18-T18-V18-W18-Y18-Z18-AA18-AB18-AC18-AD18-AE18-AF18-AG18-AH18-AI18-AJ18-AK18-AL18-AM18-AN18-AO18-AP18-AQ18-AR18-AS18-AT18-AU18-AV18-AW18-AY18-BE18-BF18-Tableau1[[#This Row],[Ville de Pantin ]]-Tableau1[[#This Row],[Est-Ensemble ]]-Tableau1[[#This Row],[ASGO]]</f>
        <v>0</v>
      </c>
    </row>
    <row r="19" spans="1:64" ht="20.100000000000001" hidden="1" customHeight="1" x14ac:dyDescent="0.25">
      <c r="A19" s="5" t="s">
        <v>33</v>
      </c>
      <c r="B19" s="5" t="s">
        <v>82</v>
      </c>
      <c r="C19" s="14" t="s">
        <v>1176</v>
      </c>
      <c r="D19" s="14" t="s">
        <v>1018</v>
      </c>
      <c r="F19" s="5" t="s">
        <v>37</v>
      </c>
      <c r="H19" s="404" t="s">
        <v>83</v>
      </c>
      <c r="J19" s="5" t="s">
        <v>53</v>
      </c>
      <c r="K19" s="5" t="s">
        <v>47</v>
      </c>
      <c r="L19" s="5" t="s">
        <v>48</v>
      </c>
      <c r="O19" s="5" t="s">
        <v>42</v>
      </c>
      <c r="P19" s="5" t="s">
        <v>84</v>
      </c>
      <c r="Q19" s="227">
        <v>30000</v>
      </c>
      <c r="R19" s="7">
        <v>36000</v>
      </c>
      <c r="S19" s="7">
        <v>30000</v>
      </c>
      <c r="T19" s="7">
        <v>15000</v>
      </c>
      <c r="U19" s="7"/>
      <c r="V19" s="7">
        <v>15000</v>
      </c>
      <c r="W19" s="7">
        <v>0</v>
      </c>
      <c r="X19" s="7">
        <v>0</v>
      </c>
      <c r="Y19" s="7"/>
      <c r="Z19" s="7"/>
      <c r="AA19" s="7"/>
      <c r="AB19" s="7"/>
      <c r="AC19" s="7"/>
      <c r="AD19" s="7"/>
      <c r="AE19" s="7"/>
      <c r="AF19" s="7"/>
      <c r="AG19" s="7"/>
      <c r="AH19" s="7"/>
      <c r="AI19" s="7"/>
      <c r="AJ19" s="7"/>
      <c r="AK19" s="7"/>
      <c r="AL19" s="7"/>
      <c r="AM19" s="7"/>
      <c r="AN19" s="7"/>
      <c r="AO19" s="7"/>
      <c r="AP19" s="7"/>
      <c r="AQ19" s="7">
        <f>Tableau1[[#This Row],[Bailleurs]]</f>
        <v>0</v>
      </c>
      <c r="AR19" s="7"/>
      <c r="AS19" s="7"/>
      <c r="AT19" s="7">
        <v>0</v>
      </c>
      <c r="AU19" s="7">
        <v>0</v>
      </c>
      <c r="AV19" s="7">
        <v>0</v>
      </c>
      <c r="AW19" s="7">
        <v>0</v>
      </c>
      <c r="AX19" s="7">
        <v>0</v>
      </c>
      <c r="BG19" s="8">
        <v>42445</v>
      </c>
      <c r="BH19" s="5">
        <v>3</v>
      </c>
      <c r="BI19" s="5">
        <v>0</v>
      </c>
      <c r="BJ19" s="5">
        <v>0</v>
      </c>
      <c r="BK19" s="5">
        <f>Tableau1[[#This Row],[Base de financement]]-Tableau1[[#This Row],[Subvention ANRU]]-Tableau1[[#This Row],[Ville]]-Tableau1[[#This Row],[Plaine Commune]]-Tableau1[[#This Row],[Bailleurs]]-Tableau1[[#This Row],[CDC]]-Tableau1[[#This Row],[CD93]]-Tableau1[[#This Row],[CRIF]]-Tableau1[[#This Row],[Europe]]-Tableau1[[#This Row],[Autres]]</f>
        <v>0</v>
      </c>
      <c r="BL19" s="412">
        <f>S19-T19-V19-W19-Y19-Z19-AA19-AB19-AC19-AD19-AE19-AF19-AG19-AH19-AI19-AJ19-AK19-AL19-AM19-AN19-AO19-AP19-AQ19-AR19-AS19-AT19-AU19-AV19-AW19-AY19-BE19-BF19-Tableau1[[#This Row],[Ville de Pantin ]]-Tableau1[[#This Row],[Est-Ensemble ]]-Tableau1[[#This Row],[ASGO]]</f>
        <v>0</v>
      </c>
    </row>
    <row r="20" spans="1:64" ht="20.100000000000001" hidden="1" customHeight="1" x14ac:dyDescent="0.25">
      <c r="A20" s="5" t="s">
        <v>33</v>
      </c>
      <c r="B20" s="5" t="s">
        <v>88</v>
      </c>
      <c r="C20" s="14" t="s">
        <v>1178</v>
      </c>
      <c r="D20" s="14" t="s">
        <v>1018</v>
      </c>
      <c r="E20" s="5" t="s">
        <v>57</v>
      </c>
      <c r="F20" s="5" t="s">
        <v>37</v>
      </c>
      <c r="G20" s="5" t="s">
        <v>89</v>
      </c>
      <c r="H20" s="404" t="s">
        <v>90</v>
      </c>
      <c r="I20" s="5" t="s">
        <v>91</v>
      </c>
      <c r="J20" s="5" t="s">
        <v>68</v>
      </c>
      <c r="K20" s="5" t="s">
        <v>69</v>
      </c>
      <c r="L20" s="5" t="s">
        <v>54</v>
      </c>
      <c r="O20" s="5" t="s">
        <v>42</v>
      </c>
      <c r="P20" s="5" t="s">
        <v>92</v>
      </c>
      <c r="Q20" s="227">
        <v>70000</v>
      </c>
      <c r="R20" s="7">
        <v>84000</v>
      </c>
      <c r="S20" s="7">
        <v>70000</v>
      </c>
      <c r="T20" s="7">
        <v>35000</v>
      </c>
      <c r="U20" s="7"/>
      <c r="V20" s="7">
        <v>0</v>
      </c>
      <c r="W20" s="7">
        <v>0</v>
      </c>
      <c r="X20" s="7">
        <v>35000</v>
      </c>
      <c r="Y20" s="7"/>
      <c r="Z20" s="7"/>
      <c r="AA20" s="7"/>
      <c r="AB20" s="7"/>
      <c r="AC20" s="7"/>
      <c r="AD20" s="7"/>
      <c r="AE20" s="7"/>
      <c r="AF20" s="7"/>
      <c r="AG20" s="7"/>
      <c r="AH20" s="7"/>
      <c r="AI20" s="7"/>
      <c r="AJ20" s="7"/>
      <c r="AK20" s="7"/>
      <c r="AL20" s="7"/>
      <c r="AM20" s="7"/>
      <c r="AN20" s="7"/>
      <c r="AO20" s="7"/>
      <c r="AP20" s="7"/>
      <c r="AQ20" s="7">
        <f>Tableau1[[#This Row],[Bailleurs]]</f>
        <v>35000</v>
      </c>
      <c r="AR20" s="7"/>
      <c r="AS20" s="7"/>
      <c r="AT20" s="7">
        <v>0</v>
      </c>
      <c r="AU20" s="7">
        <v>0</v>
      </c>
      <c r="AV20" s="7">
        <v>0</v>
      </c>
      <c r="AW20" s="7">
        <v>0</v>
      </c>
      <c r="AX20" s="7">
        <v>0</v>
      </c>
      <c r="BG20" s="8">
        <v>42445</v>
      </c>
      <c r="BH20" s="5">
        <v>8</v>
      </c>
      <c r="BI20" s="5">
        <v>683</v>
      </c>
      <c r="BJ20" s="5">
        <v>0</v>
      </c>
      <c r="BK20" s="5">
        <f>Tableau1[[#This Row],[Base de financement]]-Tableau1[[#This Row],[Subvention ANRU]]-Tableau1[[#This Row],[Ville]]-Tableau1[[#This Row],[Plaine Commune]]-Tableau1[[#This Row],[Bailleurs]]-Tableau1[[#This Row],[CDC]]-Tableau1[[#This Row],[CD93]]-Tableau1[[#This Row],[CRIF]]-Tableau1[[#This Row],[Europe]]-Tableau1[[#This Row],[Autres]]</f>
        <v>0</v>
      </c>
      <c r="BL20" s="412">
        <f>S20-T20-V20-W20-Y20-Z20-AA20-AB20-AC20-AD20-AE20-AF20-AG20-AH20-AI20-AJ20-AK20-AL20-AM20-AN20-AO20-AP20-AQ20-AR20-AS20-AT20-AU20-AV20-AW20-AY20-BE20-BF20-Tableau1[[#This Row],[Ville de Pantin ]]-Tableau1[[#This Row],[Est-Ensemble ]]-Tableau1[[#This Row],[ASGO]]</f>
        <v>0</v>
      </c>
    </row>
    <row r="21" spans="1:64" ht="20.100000000000001" hidden="1" customHeight="1" x14ac:dyDescent="0.25">
      <c r="A21" s="5" t="s">
        <v>33</v>
      </c>
      <c r="B21" s="5" t="s">
        <v>93</v>
      </c>
      <c r="C21" s="14" t="s">
        <v>1178</v>
      </c>
      <c r="D21" s="14" t="s">
        <v>1018</v>
      </c>
      <c r="E21" s="5" t="s">
        <v>57</v>
      </c>
      <c r="F21" s="5" t="s">
        <v>37</v>
      </c>
      <c r="G21" s="5" t="s">
        <v>89</v>
      </c>
      <c r="H21" s="404" t="s">
        <v>94</v>
      </c>
      <c r="I21" s="5" t="s">
        <v>91</v>
      </c>
      <c r="J21" s="5" t="s">
        <v>68</v>
      </c>
      <c r="K21" s="5" t="s">
        <v>69</v>
      </c>
      <c r="L21" s="5" t="s">
        <v>54</v>
      </c>
      <c r="O21" s="5" t="s">
        <v>42</v>
      </c>
      <c r="P21" s="5" t="s">
        <v>95</v>
      </c>
      <c r="Q21" s="227">
        <v>150000</v>
      </c>
      <c r="R21" s="7">
        <v>180000</v>
      </c>
      <c r="S21" s="7">
        <v>150000</v>
      </c>
      <c r="T21" s="7">
        <v>75000</v>
      </c>
      <c r="U21" s="7"/>
      <c r="V21" s="7">
        <v>0</v>
      </c>
      <c r="W21" s="7">
        <v>0</v>
      </c>
      <c r="X21" s="7">
        <v>75000</v>
      </c>
      <c r="Y21" s="7"/>
      <c r="Z21" s="7"/>
      <c r="AA21" s="7"/>
      <c r="AB21" s="7"/>
      <c r="AC21" s="7"/>
      <c r="AD21" s="7"/>
      <c r="AE21" s="7"/>
      <c r="AF21" s="7"/>
      <c r="AG21" s="7"/>
      <c r="AH21" s="7"/>
      <c r="AI21" s="7"/>
      <c r="AJ21" s="7"/>
      <c r="AK21" s="7"/>
      <c r="AL21" s="7"/>
      <c r="AM21" s="7"/>
      <c r="AN21" s="7"/>
      <c r="AO21" s="7"/>
      <c r="AP21" s="7"/>
      <c r="AQ21" s="7">
        <f>Tableau1[[#This Row],[Bailleurs]]</f>
        <v>75000</v>
      </c>
      <c r="AR21" s="7"/>
      <c r="AS21" s="7"/>
      <c r="AT21" s="7">
        <v>0</v>
      </c>
      <c r="AU21" s="7">
        <v>0</v>
      </c>
      <c r="AV21" s="7">
        <v>0</v>
      </c>
      <c r="AW21" s="7">
        <v>0</v>
      </c>
      <c r="AX21" s="7">
        <v>0</v>
      </c>
      <c r="BG21" s="8">
        <v>42430</v>
      </c>
      <c r="BH21" s="5">
        <v>2</v>
      </c>
      <c r="BI21" s="5">
        <v>893</v>
      </c>
      <c r="BJ21" s="5">
        <v>0</v>
      </c>
      <c r="BK21" s="5">
        <f>Tableau1[[#This Row],[Base de financement]]-Tableau1[[#This Row],[Subvention ANRU]]-Tableau1[[#This Row],[Ville]]-Tableau1[[#This Row],[Plaine Commune]]-Tableau1[[#This Row],[Bailleurs]]-Tableau1[[#This Row],[CDC]]-Tableau1[[#This Row],[CD93]]-Tableau1[[#This Row],[CRIF]]-Tableau1[[#This Row],[Europe]]-Tableau1[[#This Row],[Autres]]</f>
        <v>0</v>
      </c>
      <c r="BL21" s="412">
        <f>S21-T21-V21-W21-Y21-Z21-AA21-AB21-AC21-AD21-AE21-AF21-AG21-AH21-AI21-AJ21-AK21-AL21-AM21-AN21-AO21-AP21-AQ21-AR21-AS21-AT21-AU21-AV21-AW21-AY21-BE21-BF21-Tableau1[[#This Row],[Ville de Pantin ]]-Tableau1[[#This Row],[Est-Ensemble ]]-Tableau1[[#This Row],[ASGO]]</f>
        <v>0</v>
      </c>
    </row>
    <row r="22" spans="1:64" ht="20.100000000000001" hidden="1" customHeight="1" x14ac:dyDescent="0.25">
      <c r="A22" s="5" t="s">
        <v>33</v>
      </c>
      <c r="B22" s="5" t="s">
        <v>153</v>
      </c>
      <c r="C22" s="14" t="s">
        <v>1178</v>
      </c>
      <c r="D22" s="14" t="s">
        <v>1018</v>
      </c>
      <c r="E22" s="5" t="s">
        <v>57</v>
      </c>
      <c r="F22" s="5" t="s">
        <v>37</v>
      </c>
      <c r="G22" s="5" t="s">
        <v>89</v>
      </c>
      <c r="H22" s="404" t="s">
        <v>154</v>
      </c>
      <c r="I22" s="5" t="s">
        <v>91</v>
      </c>
      <c r="J22" s="5" t="s">
        <v>68</v>
      </c>
      <c r="K22" s="5" t="s">
        <v>69</v>
      </c>
      <c r="L22" s="5" t="s">
        <v>54</v>
      </c>
      <c r="O22" s="5" t="s">
        <v>42</v>
      </c>
      <c r="P22" s="5" t="s">
        <v>155</v>
      </c>
      <c r="Q22" s="227">
        <v>115000</v>
      </c>
      <c r="R22" s="7">
        <v>138000</v>
      </c>
      <c r="S22" s="7">
        <v>115000</v>
      </c>
      <c r="T22" s="7">
        <v>57500</v>
      </c>
      <c r="U22" s="7"/>
      <c r="V22" s="7">
        <v>0</v>
      </c>
      <c r="W22" s="7">
        <v>0</v>
      </c>
      <c r="X22" s="7">
        <v>57500</v>
      </c>
      <c r="Y22" s="7"/>
      <c r="Z22" s="7"/>
      <c r="AA22" s="7"/>
      <c r="AB22" s="7"/>
      <c r="AC22" s="7"/>
      <c r="AD22" s="7"/>
      <c r="AE22" s="7"/>
      <c r="AF22" s="7"/>
      <c r="AG22" s="7"/>
      <c r="AH22" s="7"/>
      <c r="AI22" s="7"/>
      <c r="AJ22" s="7"/>
      <c r="AK22" s="7"/>
      <c r="AL22" s="7"/>
      <c r="AM22" s="7"/>
      <c r="AN22" s="7"/>
      <c r="AO22" s="7"/>
      <c r="AP22" s="7"/>
      <c r="AQ22" s="7">
        <f>Tableau1[[#This Row],[Bailleurs]]</f>
        <v>57500</v>
      </c>
      <c r="AR22" s="7"/>
      <c r="AS22" s="7"/>
      <c r="AT22" s="7">
        <v>0</v>
      </c>
      <c r="AU22" s="7">
        <v>0</v>
      </c>
      <c r="AV22" s="7">
        <v>0</v>
      </c>
      <c r="AW22" s="7">
        <v>0</v>
      </c>
      <c r="AX22" s="7">
        <v>0</v>
      </c>
      <c r="BG22" s="8">
        <v>42461</v>
      </c>
      <c r="BH22" s="5">
        <v>6</v>
      </c>
      <c r="BI22" s="5">
        <v>1139</v>
      </c>
      <c r="BJ22" s="5">
        <v>0</v>
      </c>
      <c r="BK22" s="5">
        <f>Tableau1[[#This Row],[Base de financement]]-Tableau1[[#This Row],[Subvention ANRU]]-Tableau1[[#This Row],[Ville]]-Tableau1[[#This Row],[Plaine Commune]]-Tableau1[[#This Row],[Bailleurs]]-Tableau1[[#This Row],[CDC]]-Tableau1[[#This Row],[CD93]]-Tableau1[[#This Row],[CRIF]]-Tableau1[[#This Row],[Europe]]-Tableau1[[#This Row],[Autres]]</f>
        <v>0</v>
      </c>
      <c r="BL22" s="412">
        <f>S22-T22-V22-W22-Y22-Z22-AA22-AB22-AC22-AD22-AE22-AF22-AG22-AH22-AI22-AJ22-AK22-AL22-AM22-AN22-AO22-AP22-AQ22-AR22-AS22-AT22-AU22-AV22-AW22-AY22-BE22-BF22-Tableau1[[#This Row],[Ville de Pantin ]]-Tableau1[[#This Row],[Est-Ensemble ]]-Tableau1[[#This Row],[ASGO]]</f>
        <v>0</v>
      </c>
    </row>
    <row r="23" spans="1:64" ht="33" hidden="1" customHeight="1" x14ac:dyDescent="0.25">
      <c r="A23" s="5" t="s">
        <v>33</v>
      </c>
      <c r="B23" s="5" t="s">
        <v>102</v>
      </c>
      <c r="C23" s="14" t="s">
        <v>1181</v>
      </c>
      <c r="D23" s="14" t="s">
        <v>1018</v>
      </c>
      <c r="F23" s="5" t="s">
        <v>37</v>
      </c>
      <c r="H23" s="404" t="s">
        <v>103</v>
      </c>
      <c r="J23" s="5" t="s">
        <v>68</v>
      </c>
      <c r="K23" s="5" t="s">
        <v>61</v>
      </c>
      <c r="L23" s="5" t="s">
        <v>54</v>
      </c>
      <c r="O23" s="5" t="s">
        <v>42</v>
      </c>
      <c r="P23" s="5" t="s">
        <v>104</v>
      </c>
      <c r="Q23" s="227">
        <v>66000</v>
      </c>
      <c r="R23" s="7">
        <v>79200</v>
      </c>
      <c r="S23" s="7">
        <v>66000</v>
      </c>
      <c r="T23" s="7">
        <v>33000</v>
      </c>
      <c r="U23" s="7"/>
      <c r="V23" s="7">
        <v>0</v>
      </c>
      <c r="W23" s="7">
        <v>0</v>
      </c>
      <c r="X23" s="7">
        <v>33000</v>
      </c>
      <c r="Y23" s="7"/>
      <c r="Z23" s="7"/>
      <c r="AA23" s="7"/>
      <c r="AB23" s="7"/>
      <c r="AC23" s="7"/>
      <c r="AD23" s="7"/>
      <c r="AE23" s="7"/>
      <c r="AF23" s="7"/>
      <c r="AG23" s="7"/>
      <c r="AH23" s="7"/>
      <c r="AI23" s="7"/>
      <c r="AJ23" s="7"/>
      <c r="AK23" s="7"/>
      <c r="AL23" s="7"/>
      <c r="AM23" s="7"/>
      <c r="AN23" s="7"/>
      <c r="AO23" s="7"/>
      <c r="AP23" s="7"/>
      <c r="AQ23" s="7">
        <f>Tableau1[[#This Row],[Bailleurs]]</f>
        <v>33000</v>
      </c>
      <c r="AR23" s="7"/>
      <c r="AS23" s="7"/>
      <c r="AT23" s="7">
        <v>0</v>
      </c>
      <c r="AU23" s="7">
        <v>0</v>
      </c>
      <c r="AV23" s="7">
        <v>0</v>
      </c>
      <c r="AW23" s="7">
        <v>0</v>
      </c>
      <c r="AX23" s="7">
        <v>0</v>
      </c>
      <c r="BG23" s="8">
        <v>42552</v>
      </c>
      <c r="BH23" s="5">
        <v>3</v>
      </c>
      <c r="BI23" s="5">
        <v>2163</v>
      </c>
      <c r="BJ23" s="5">
        <v>0</v>
      </c>
      <c r="BK23" s="5">
        <f>Tableau1[[#This Row],[Base de financement]]-Tableau1[[#This Row],[Subvention ANRU]]-Tableau1[[#This Row],[Ville]]-Tableau1[[#This Row],[Plaine Commune]]-Tableau1[[#This Row],[Bailleurs]]-Tableau1[[#This Row],[CDC]]-Tableau1[[#This Row],[CD93]]-Tableau1[[#This Row],[CRIF]]-Tableau1[[#This Row],[Europe]]-Tableau1[[#This Row],[Autres]]</f>
        <v>0</v>
      </c>
      <c r="BL23" s="412">
        <f>S23-T23-V23-W23-Y23-Z23-AA23-AB23-AC23-AD23-AE23-AF23-AG23-AH23-AI23-AJ23-AK23-AL23-AM23-AN23-AO23-AP23-AQ23-AR23-AS23-AT23-AU23-AV23-AW23-AY23-BE23-BF23-Tableau1[[#This Row],[Ville de Pantin ]]-Tableau1[[#This Row],[Est-Ensemble ]]-Tableau1[[#This Row],[ASGO]]</f>
        <v>0</v>
      </c>
    </row>
    <row r="24" spans="1:64" ht="38.25" hidden="1" customHeight="1" x14ac:dyDescent="0.25">
      <c r="A24" s="264" t="s">
        <v>33</v>
      </c>
      <c r="B24" s="264" t="s">
        <v>120</v>
      </c>
      <c r="C24" s="346" t="s">
        <v>1187</v>
      </c>
      <c r="D24" s="264" t="s">
        <v>121</v>
      </c>
      <c r="E24" s="264" t="s">
        <v>36</v>
      </c>
      <c r="F24" s="264" t="s">
        <v>37</v>
      </c>
      <c r="G24" s="264"/>
      <c r="H24" s="460" t="s">
        <v>122</v>
      </c>
      <c r="I24" s="264" t="s">
        <v>123</v>
      </c>
      <c r="J24" s="264" t="s">
        <v>40</v>
      </c>
      <c r="K24" s="264" t="s">
        <v>41</v>
      </c>
      <c r="L24" s="264" t="s">
        <v>1020</v>
      </c>
      <c r="M24" s="264"/>
      <c r="N24" s="264"/>
      <c r="O24" s="264" t="s">
        <v>42</v>
      </c>
      <c r="P24" s="264" t="s">
        <v>124</v>
      </c>
      <c r="Q24" s="405">
        <v>130000</v>
      </c>
      <c r="R24" s="265">
        <v>156000</v>
      </c>
      <c r="S24" s="265">
        <v>130000</v>
      </c>
      <c r="T24" s="265">
        <v>52000</v>
      </c>
      <c r="U24" s="265" t="s">
        <v>125</v>
      </c>
      <c r="V24" s="265">
        <v>0</v>
      </c>
      <c r="W24" s="265">
        <v>39000</v>
      </c>
      <c r="X24" s="265">
        <v>0</v>
      </c>
      <c r="Y24" s="265"/>
      <c r="Z24" s="265"/>
      <c r="AA24" s="265"/>
      <c r="AB24" s="265"/>
      <c r="AC24" s="265"/>
      <c r="AD24" s="265"/>
      <c r="AE24" s="265"/>
      <c r="AF24" s="265"/>
      <c r="AG24" s="265"/>
      <c r="AH24" s="265"/>
      <c r="AI24" s="265"/>
      <c r="AJ24" s="265"/>
      <c r="AK24" s="265"/>
      <c r="AL24" s="265"/>
      <c r="AM24" s="265"/>
      <c r="AN24" s="265"/>
      <c r="AO24" s="265"/>
      <c r="AP24" s="265"/>
      <c r="AQ24" s="265">
        <f>Tableau1[[#This Row],[Bailleurs]]</f>
        <v>0</v>
      </c>
      <c r="AR24" s="265"/>
      <c r="AS24" s="265"/>
      <c r="AT24" s="265">
        <v>13000</v>
      </c>
      <c r="AU24" s="265">
        <v>0</v>
      </c>
      <c r="AV24" s="265">
        <v>0</v>
      </c>
      <c r="AW24" s="265">
        <v>0</v>
      </c>
      <c r="AX24" s="265">
        <v>26000</v>
      </c>
      <c r="BD24" s="5">
        <v>26000</v>
      </c>
      <c r="BG24" s="8">
        <v>42491</v>
      </c>
      <c r="BH24" s="5">
        <v>12</v>
      </c>
      <c r="BI24" s="5">
        <v>0</v>
      </c>
      <c r="BJ24" s="5">
        <v>0</v>
      </c>
      <c r="BK24" s="5">
        <f>Tableau1[[#This Row],[Base de financement]]-Tableau1[[#This Row],[Subvention ANRU]]-Tableau1[[#This Row],[Ville]]-Tableau1[[#This Row],[Plaine Commune]]-Tableau1[[#This Row],[Bailleurs]]-Tableau1[[#This Row],[CDC]]-Tableau1[[#This Row],[CD93]]-Tableau1[[#This Row],[CRIF]]-Tableau1[[#This Row],[Europe]]-Tableau1[[#This Row],[Autres]]</f>
        <v>0</v>
      </c>
      <c r="BL24" s="412">
        <f>S24-T24-V24-W24-Y24-Z24-AA24-AB24-AC24-AD24-AE24-AF24-AG24-AH24-AI24-AJ24-AK24-AL24-AM24-AN24-AO24-AP24-AQ24-AR24-AS24-AT24-AU24-AV24-AW24-AY24-BE24-BF24-Tableau1[[#This Row],[Ville de Pantin ]]-Tableau1[[#This Row],[Est-Ensemble ]]-Tableau1[[#This Row],[ASGO]]</f>
        <v>0</v>
      </c>
    </row>
    <row r="25" spans="1:64" ht="42" hidden="1" customHeight="1" x14ac:dyDescent="0.25">
      <c r="A25" s="5" t="s">
        <v>33</v>
      </c>
      <c r="B25" s="5" t="s">
        <v>126</v>
      </c>
      <c r="C25" s="14" t="s">
        <v>1188</v>
      </c>
      <c r="D25" s="5" t="s">
        <v>121</v>
      </c>
      <c r="E25" s="5" t="s">
        <v>36</v>
      </c>
      <c r="F25" s="5" t="s">
        <v>37</v>
      </c>
      <c r="H25" s="404" t="s">
        <v>127</v>
      </c>
      <c r="I25" s="5" t="s">
        <v>127</v>
      </c>
      <c r="J25" s="5" t="s">
        <v>128</v>
      </c>
      <c r="K25" s="5" t="s">
        <v>41</v>
      </c>
      <c r="L25" s="5" t="s">
        <v>1020</v>
      </c>
      <c r="O25" s="5" t="s">
        <v>42</v>
      </c>
      <c r="P25" s="5" t="s">
        <v>129</v>
      </c>
      <c r="Q25" s="227">
        <v>80000</v>
      </c>
      <c r="R25" s="7">
        <v>96000</v>
      </c>
      <c r="S25" s="7">
        <v>80000</v>
      </c>
      <c r="T25" s="7">
        <v>0</v>
      </c>
      <c r="U25" s="7" t="s">
        <v>130</v>
      </c>
      <c r="V25" s="7">
        <v>0</v>
      </c>
      <c r="W25" s="7">
        <v>24000</v>
      </c>
      <c r="X25" s="7">
        <v>0</v>
      </c>
      <c r="Y25" s="7"/>
      <c r="Z25" s="7"/>
      <c r="AA25" s="7"/>
      <c r="AB25" s="7"/>
      <c r="AC25" s="7"/>
      <c r="AD25" s="7"/>
      <c r="AE25" s="7"/>
      <c r="AF25" s="7"/>
      <c r="AG25" s="7"/>
      <c r="AH25" s="7"/>
      <c r="AI25" s="7"/>
      <c r="AJ25" s="7"/>
      <c r="AK25" s="7"/>
      <c r="AL25" s="7"/>
      <c r="AM25" s="7"/>
      <c r="AN25" s="7"/>
      <c r="AO25" s="7"/>
      <c r="AP25" s="7"/>
      <c r="AQ25" s="7">
        <f>Tableau1[[#This Row],[Bailleurs]]</f>
        <v>0</v>
      </c>
      <c r="AR25" s="7"/>
      <c r="AS25" s="7"/>
      <c r="AT25" s="7">
        <v>40000</v>
      </c>
      <c r="AU25" s="7">
        <v>0</v>
      </c>
      <c r="AV25" s="7">
        <v>0</v>
      </c>
      <c r="AW25" s="7">
        <v>0</v>
      </c>
      <c r="AX25" s="7">
        <v>16000</v>
      </c>
      <c r="BC25" s="5">
        <v>8000</v>
      </c>
      <c r="BD25" s="5">
        <v>8000</v>
      </c>
      <c r="BG25" s="8">
        <v>42491</v>
      </c>
      <c r="BH25" s="5">
        <v>8</v>
      </c>
      <c r="BI25" s="5">
        <v>0</v>
      </c>
      <c r="BJ25" s="5">
        <v>0</v>
      </c>
      <c r="BK25" s="5">
        <f>Tableau1[[#This Row],[Base de financement]]-Tableau1[[#This Row],[Subvention ANRU]]-Tableau1[[#This Row],[Ville]]-Tableau1[[#This Row],[Plaine Commune]]-Tableau1[[#This Row],[Bailleurs]]-Tableau1[[#This Row],[CDC]]-Tableau1[[#This Row],[CD93]]-Tableau1[[#This Row],[CRIF]]-Tableau1[[#This Row],[Europe]]-Tableau1[[#This Row],[Autres]]</f>
        <v>0</v>
      </c>
      <c r="BL25" s="412">
        <f>S25-T25-V25-W25-Y25-Z25-AA25-AB25-AC25-AD25-AE25-AF25-AG25-AH25-AI25-AJ25-AK25-AL25-AM25-AN25-AO25-AP25-AQ25-AR25-AS25-AT25-AU25-AV25-AW25-AY25-BE25-BF25-Tableau1[[#This Row],[Ville de Pantin ]]-Tableau1[[#This Row],[Est-Ensemble ]]-Tableau1[[#This Row],[ASGO]]</f>
        <v>0</v>
      </c>
    </row>
    <row r="26" spans="1:64" ht="44.25" customHeight="1" x14ac:dyDescent="0.25">
      <c r="A26" s="5" t="s">
        <v>33</v>
      </c>
      <c r="B26" s="5" t="s">
        <v>131</v>
      </c>
      <c r="C26" s="14" t="s">
        <v>1189</v>
      </c>
      <c r="D26" s="5" t="s">
        <v>121</v>
      </c>
      <c r="F26" s="5" t="s">
        <v>37</v>
      </c>
      <c r="H26" s="404" t="s">
        <v>1019</v>
      </c>
      <c r="J26" s="5" t="s">
        <v>68</v>
      </c>
      <c r="K26" s="5" t="s">
        <v>69</v>
      </c>
      <c r="L26" s="5" t="s">
        <v>22</v>
      </c>
      <c r="N26" s="5" t="s">
        <v>42</v>
      </c>
      <c r="P26" s="5" t="s">
        <v>132</v>
      </c>
      <c r="Q26" s="227">
        <v>80000</v>
      </c>
      <c r="R26" s="7">
        <v>96000</v>
      </c>
      <c r="S26" s="7">
        <v>80000</v>
      </c>
      <c r="T26" s="7">
        <v>0</v>
      </c>
      <c r="U26" s="7"/>
      <c r="V26" s="7">
        <v>0</v>
      </c>
      <c r="W26" s="7">
        <v>20000</v>
      </c>
      <c r="X26" s="7">
        <v>0</v>
      </c>
      <c r="Y26" s="7"/>
      <c r="Z26" s="7"/>
      <c r="AA26" s="7"/>
      <c r="AB26" s="7"/>
      <c r="AC26" s="7"/>
      <c r="AD26" s="7"/>
      <c r="AE26" s="7"/>
      <c r="AF26" s="7"/>
      <c r="AG26" s="7"/>
      <c r="AH26" s="7"/>
      <c r="AI26" s="7"/>
      <c r="AJ26" s="7"/>
      <c r="AK26" s="7"/>
      <c r="AL26" s="7"/>
      <c r="AM26" s="7"/>
      <c r="AN26" s="7"/>
      <c r="AO26" s="7"/>
      <c r="AP26" s="7"/>
      <c r="AQ26" s="7">
        <f>Tableau1[[#This Row],[Bailleurs]]</f>
        <v>0</v>
      </c>
      <c r="AR26" s="7"/>
      <c r="AS26" s="7"/>
      <c r="AT26" s="7">
        <v>20000</v>
      </c>
      <c r="AU26" s="7">
        <v>0</v>
      </c>
      <c r="AV26" s="7">
        <v>0</v>
      </c>
      <c r="AW26" s="7">
        <v>0</v>
      </c>
      <c r="AX26" s="7">
        <v>40000</v>
      </c>
      <c r="AY26" s="5">
        <v>40000</v>
      </c>
      <c r="BG26" s="8">
        <v>42491</v>
      </c>
      <c r="BH26" s="5">
        <v>8</v>
      </c>
      <c r="BI26" s="5">
        <v>0</v>
      </c>
      <c r="BJ26" s="5">
        <v>0</v>
      </c>
      <c r="BK26" s="5">
        <f>Tableau1[[#This Row],[Base de financement]]-Tableau1[[#This Row],[Subvention ANRU]]-Tableau1[[#This Row],[Ville]]-Tableau1[[#This Row],[Plaine Commune]]-Tableau1[[#This Row],[Bailleurs]]-Tableau1[[#This Row],[CDC]]-Tableau1[[#This Row],[CD93]]-Tableau1[[#This Row],[CRIF]]-Tableau1[[#This Row],[Europe]]-Tableau1[[#This Row],[Autres]]</f>
        <v>0</v>
      </c>
      <c r="BL26" s="412">
        <f>S26-T26-V26-W26-Y26-Z26-AA26-AB26-AC26-AD26-AE26-AF26-AG26-AH26-AI26-AJ26-AK26-AL26-AM26-AN26-AO26-AP26-AQ26-AR26-AS26-AT26-AU26-AV26-AW26-AY26-BE26-BF26-Tableau1[[#This Row],[Ville de Pantin ]]-Tableau1[[#This Row],[Est-Ensemble ]]-Tableau1[[#This Row],[ASGO]]</f>
        <v>0</v>
      </c>
    </row>
    <row r="27" spans="1:64" ht="20.100000000000001" customHeight="1" x14ac:dyDescent="0.25">
      <c r="A27" s="5" t="s">
        <v>33</v>
      </c>
      <c r="B27" s="5" t="s">
        <v>133</v>
      </c>
      <c r="C27" s="14" t="s">
        <v>1190</v>
      </c>
      <c r="D27" s="5" t="s">
        <v>121</v>
      </c>
      <c r="E27" s="5" t="s">
        <v>36</v>
      </c>
      <c r="F27" s="5" t="s">
        <v>37</v>
      </c>
      <c r="H27" s="404" t="s">
        <v>134</v>
      </c>
      <c r="I27" s="5" t="s">
        <v>135</v>
      </c>
      <c r="J27" s="5" t="s">
        <v>136</v>
      </c>
      <c r="K27" s="5" t="s">
        <v>69</v>
      </c>
      <c r="L27" s="5" t="s">
        <v>22</v>
      </c>
      <c r="O27" s="5" t="s">
        <v>42</v>
      </c>
      <c r="P27" s="5" t="s">
        <v>137</v>
      </c>
      <c r="Q27" s="227">
        <v>48000</v>
      </c>
      <c r="R27" s="7">
        <v>57600</v>
      </c>
      <c r="S27" s="7">
        <v>48000</v>
      </c>
      <c r="T27" s="7">
        <v>24000</v>
      </c>
      <c r="U27" s="7"/>
      <c r="V27" s="7">
        <v>0</v>
      </c>
      <c r="W27" s="7">
        <v>24000</v>
      </c>
      <c r="X27" s="7">
        <v>0</v>
      </c>
      <c r="Y27" s="7"/>
      <c r="Z27" s="7"/>
      <c r="AA27" s="7"/>
      <c r="AB27" s="7"/>
      <c r="AC27" s="7"/>
      <c r="AD27" s="7"/>
      <c r="AE27" s="7"/>
      <c r="AF27" s="7"/>
      <c r="AG27" s="7"/>
      <c r="AH27" s="7"/>
      <c r="AI27" s="7"/>
      <c r="AJ27" s="7"/>
      <c r="AK27" s="7"/>
      <c r="AL27" s="7"/>
      <c r="AM27" s="7"/>
      <c r="AN27" s="7"/>
      <c r="AO27" s="7"/>
      <c r="AP27" s="7"/>
      <c r="AQ27" s="7">
        <f>Tableau1[[#This Row],[Bailleurs]]</f>
        <v>0</v>
      </c>
      <c r="AR27" s="7"/>
      <c r="AS27" s="7"/>
      <c r="AT27" s="7">
        <v>0</v>
      </c>
      <c r="AU27" s="7">
        <v>0</v>
      </c>
      <c r="AV27" s="7">
        <v>0</v>
      </c>
      <c r="AW27" s="7">
        <v>0</v>
      </c>
      <c r="AX27" s="7">
        <v>0</v>
      </c>
      <c r="BG27" s="8">
        <v>42614</v>
      </c>
      <c r="BH27" s="5">
        <v>6</v>
      </c>
      <c r="BI27" s="5">
        <v>0</v>
      </c>
      <c r="BJ27" s="5">
        <v>0</v>
      </c>
      <c r="BK27" s="5">
        <f>Tableau1[[#This Row],[Base de financement]]-Tableau1[[#This Row],[Subvention ANRU]]-Tableau1[[#This Row],[Ville]]-Tableau1[[#This Row],[Plaine Commune]]-Tableau1[[#This Row],[Bailleurs]]-Tableau1[[#This Row],[CDC]]-Tableau1[[#This Row],[CD93]]-Tableau1[[#This Row],[CRIF]]-Tableau1[[#This Row],[Europe]]-Tableau1[[#This Row],[Autres]]</f>
        <v>0</v>
      </c>
      <c r="BL27" s="412">
        <f>S27-T27-V27-W27-Y27-Z27-AA27-AB27-AC27-AD27-AE27-AF27-AG27-AH27-AI27-AJ27-AK27-AL27-AM27-AN27-AO27-AP27-AQ27-AR27-AS27-AT27-AU27-AV27-AW27-AY27-BE27-BF27-Tableau1[[#This Row],[Ville de Pantin ]]-Tableau1[[#This Row],[Est-Ensemble ]]-Tableau1[[#This Row],[ASGO]]</f>
        <v>0</v>
      </c>
    </row>
    <row r="28" spans="1:64" ht="20.100000000000001" hidden="1" customHeight="1" x14ac:dyDescent="0.25">
      <c r="A28" s="5" t="s">
        <v>33</v>
      </c>
      <c r="B28" s="5" t="s">
        <v>138</v>
      </c>
      <c r="C28" s="14" t="s">
        <v>1191</v>
      </c>
      <c r="D28" s="5" t="s">
        <v>121</v>
      </c>
      <c r="F28" s="5" t="s">
        <v>37</v>
      </c>
      <c r="H28" s="404" t="s">
        <v>139</v>
      </c>
      <c r="J28" s="5" t="s">
        <v>53</v>
      </c>
      <c r="K28" s="5" t="s">
        <v>69</v>
      </c>
      <c r="L28" s="5" t="s">
        <v>54</v>
      </c>
      <c r="O28" s="5" t="s">
        <v>42</v>
      </c>
      <c r="P28" s="5" t="s">
        <v>140</v>
      </c>
      <c r="Q28" s="227">
        <v>50000</v>
      </c>
      <c r="R28" s="7">
        <v>60000</v>
      </c>
      <c r="S28" s="7">
        <v>50000</v>
      </c>
      <c r="T28" s="7">
        <v>25000</v>
      </c>
      <c r="U28" s="7" t="s">
        <v>141</v>
      </c>
      <c r="V28" s="7">
        <v>0</v>
      </c>
      <c r="W28" s="7">
        <v>0</v>
      </c>
      <c r="X28" s="7">
        <v>25000</v>
      </c>
      <c r="Y28" s="7"/>
      <c r="Z28" s="7"/>
      <c r="AA28" s="7"/>
      <c r="AB28" s="7"/>
      <c r="AC28" s="7"/>
      <c r="AD28" s="7"/>
      <c r="AE28" s="7"/>
      <c r="AF28" s="7"/>
      <c r="AG28" s="7"/>
      <c r="AH28" s="7"/>
      <c r="AI28" s="7"/>
      <c r="AJ28" s="7"/>
      <c r="AK28" s="7"/>
      <c r="AL28" s="7"/>
      <c r="AM28" s="7"/>
      <c r="AN28" s="7"/>
      <c r="AO28" s="7"/>
      <c r="AP28" s="7"/>
      <c r="AQ28" s="7">
        <f>Tableau1[[#This Row],[Bailleurs]]</f>
        <v>25000</v>
      </c>
      <c r="AR28" s="7"/>
      <c r="AS28" s="7"/>
      <c r="AT28" s="7">
        <v>0</v>
      </c>
      <c r="AU28" s="7">
        <v>0</v>
      </c>
      <c r="AV28" s="7">
        <v>0</v>
      </c>
      <c r="AW28" s="7">
        <v>0</v>
      </c>
      <c r="AX28" s="7">
        <v>0</v>
      </c>
      <c r="BG28" s="8">
        <v>42430</v>
      </c>
      <c r="BH28" s="5">
        <v>3</v>
      </c>
      <c r="BI28" s="5">
        <v>587</v>
      </c>
      <c r="BJ28" s="5">
        <v>0</v>
      </c>
      <c r="BK28" s="5">
        <f>Tableau1[[#This Row],[Base de financement]]-Tableau1[[#This Row],[Subvention ANRU]]-Tableau1[[#This Row],[Ville]]-Tableau1[[#This Row],[Plaine Commune]]-Tableau1[[#This Row],[Bailleurs]]-Tableau1[[#This Row],[CDC]]-Tableau1[[#This Row],[CD93]]-Tableau1[[#This Row],[CRIF]]-Tableau1[[#This Row],[Europe]]-Tableau1[[#This Row],[Autres]]</f>
        <v>0</v>
      </c>
      <c r="BL28" s="412">
        <f>S28-T28-V28-W28-Y28-Z28-AA28-AB28-AC28-AD28-AE28-AF28-AG28-AH28-AI28-AJ28-AK28-AL28-AM28-AN28-AO28-AP28-AQ28-AR28-AS28-AT28-AU28-AV28-AW28-AY28-BE28-BF28-Tableau1[[#This Row],[Ville de Pantin ]]-Tableau1[[#This Row],[Est-Ensemble ]]-Tableau1[[#This Row],[ASGO]]</f>
        <v>0</v>
      </c>
    </row>
    <row r="29" spans="1:64" ht="20.100000000000001" hidden="1" customHeight="1" x14ac:dyDescent="0.25">
      <c r="A29" s="5" t="s">
        <v>33</v>
      </c>
      <c r="B29" s="5" t="s">
        <v>142</v>
      </c>
      <c r="C29" s="14" t="s">
        <v>1192</v>
      </c>
      <c r="D29" s="5" t="s">
        <v>121</v>
      </c>
      <c r="F29" s="5" t="s">
        <v>37</v>
      </c>
      <c r="H29" s="404" t="s">
        <v>143</v>
      </c>
      <c r="J29" s="5" t="s">
        <v>136</v>
      </c>
      <c r="K29" s="5" t="s">
        <v>69</v>
      </c>
      <c r="L29" s="5" t="s">
        <v>144</v>
      </c>
      <c r="O29" s="5" t="s">
        <v>42</v>
      </c>
      <c r="P29" s="5" t="s">
        <v>145</v>
      </c>
      <c r="Q29" s="227">
        <v>80000</v>
      </c>
      <c r="R29" s="7">
        <v>96000</v>
      </c>
      <c r="S29" s="7">
        <v>80000</v>
      </c>
      <c r="T29" s="7">
        <v>40000</v>
      </c>
      <c r="U29" s="7"/>
      <c r="V29" s="7">
        <v>0</v>
      </c>
      <c r="W29" s="7">
        <v>0</v>
      </c>
      <c r="X29" s="7">
        <v>0</v>
      </c>
      <c r="Y29" s="7"/>
      <c r="Z29" s="7"/>
      <c r="AA29" s="7"/>
      <c r="AB29" s="7"/>
      <c r="AC29" s="7"/>
      <c r="AD29" s="7"/>
      <c r="AE29" s="7"/>
      <c r="AF29" s="7"/>
      <c r="AG29" s="7"/>
      <c r="AH29" s="7"/>
      <c r="AI29" s="7"/>
      <c r="AJ29" s="7"/>
      <c r="AK29" s="7"/>
      <c r="AL29" s="7"/>
      <c r="AM29" s="7"/>
      <c r="AN29" s="7"/>
      <c r="AO29" s="7"/>
      <c r="AP29" s="7"/>
      <c r="AQ29" s="7">
        <f>Tableau1[[#This Row],[Bailleurs]]</f>
        <v>0</v>
      </c>
      <c r="AR29" s="7"/>
      <c r="AS29" s="7"/>
      <c r="AT29" s="7">
        <v>0</v>
      </c>
      <c r="AU29" s="7">
        <v>0</v>
      </c>
      <c r="AV29" s="7">
        <v>0</v>
      </c>
      <c r="AW29" s="7">
        <v>0</v>
      </c>
      <c r="AX29" s="7">
        <v>40000</v>
      </c>
      <c r="BB29" s="5">
        <v>40000</v>
      </c>
      <c r="BG29" s="8">
        <v>42430</v>
      </c>
      <c r="BH29" s="5">
        <v>12</v>
      </c>
      <c r="BI29" s="5">
        <v>1668</v>
      </c>
      <c r="BJ29" s="5">
        <v>0</v>
      </c>
      <c r="BK29" s="5">
        <f>Tableau1[[#This Row],[Base de financement]]-Tableau1[[#This Row],[Subvention ANRU]]-Tableau1[[#This Row],[Ville]]-Tableau1[[#This Row],[Plaine Commune]]-Tableau1[[#This Row],[Bailleurs]]-Tableau1[[#This Row],[CDC]]-Tableau1[[#This Row],[CD93]]-Tableau1[[#This Row],[CRIF]]-Tableau1[[#This Row],[Europe]]-Tableau1[[#This Row],[Autres]]</f>
        <v>0</v>
      </c>
      <c r="BL29" s="412">
        <f>S29-T29-V29-W29-Y29-Z29-AA29-AB29-AC29-AD29-AE29-AF29-AG29-AH29-AI29-AJ29-AK29-AL29-AM29-AN29-AO29-AP29-AQ29-AR29-AS29-AT29-AU29-AV29-AW29-AY29-BE29-BF29-Tableau1[[#This Row],[Ville de Pantin ]]-Tableau1[[#This Row],[Est-Ensemble ]]-Tableau1[[#This Row],[ASGO]]</f>
        <v>0</v>
      </c>
    </row>
    <row r="30" spans="1:64" ht="20.100000000000001" hidden="1" customHeight="1" x14ac:dyDescent="0.25">
      <c r="A30" s="5" t="s">
        <v>33</v>
      </c>
      <c r="B30" s="5" t="s">
        <v>146</v>
      </c>
      <c r="C30" s="14" t="s">
        <v>1193</v>
      </c>
      <c r="D30" s="5" t="s">
        <v>121</v>
      </c>
      <c r="F30" s="5" t="s">
        <v>37</v>
      </c>
      <c r="H30" s="404" t="s">
        <v>147</v>
      </c>
      <c r="J30" s="5" t="s">
        <v>53</v>
      </c>
      <c r="K30" s="5" t="s">
        <v>61</v>
      </c>
      <c r="L30" s="5" t="s">
        <v>144</v>
      </c>
      <c r="O30" s="5" t="s">
        <v>42</v>
      </c>
      <c r="P30" s="5" t="s">
        <v>148</v>
      </c>
      <c r="Q30" s="227">
        <v>55000</v>
      </c>
      <c r="R30" s="7">
        <v>66000</v>
      </c>
      <c r="S30" s="7">
        <v>55000</v>
      </c>
      <c r="T30" s="7">
        <v>27500</v>
      </c>
      <c r="U30" s="7"/>
      <c r="V30" s="7">
        <v>0</v>
      </c>
      <c r="W30" s="7">
        <v>0</v>
      </c>
      <c r="X30" s="7">
        <v>0</v>
      </c>
      <c r="Y30" s="7"/>
      <c r="Z30" s="7"/>
      <c r="AA30" s="7"/>
      <c r="AB30" s="7"/>
      <c r="AC30" s="7"/>
      <c r="AD30" s="7"/>
      <c r="AE30" s="7"/>
      <c r="AF30" s="7"/>
      <c r="AG30" s="7"/>
      <c r="AH30" s="7"/>
      <c r="AI30" s="7"/>
      <c r="AJ30" s="7"/>
      <c r="AK30" s="7"/>
      <c r="AL30" s="7"/>
      <c r="AM30" s="7"/>
      <c r="AN30" s="7"/>
      <c r="AO30" s="7"/>
      <c r="AP30" s="7"/>
      <c r="AQ30" s="7">
        <f>Tableau1[[#This Row],[Bailleurs]]</f>
        <v>0</v>
      </c>
      <c r="AR30" s="7"/>
      <c r="AS30" s="7"/>
      <c r="AT30" s="7">
        <v>0</v>
      </c>
      <c r="AU30" s="7">
        <v>0</v>
      </c>
      <c r="AV30" s="7">
        <v>0</v>
      </c>
      <c r="AW30" s="7">
        <v>0</v>
      </c>
      <c r="AX30" s="7">
        <v>27500</v>
      </c>
      <c r="BB30" s="5">
        <v>27500</v>
      </c>
      <c r="BG30" s="8">
        <v>42430</v>
      </c>
      <c r="BH30" s="5">
        <v>2</v>
      </c>
      <c r="BI30" s="5">
        <v>1668</v>
      </c>
      <c r="BJ30" s="5">
        <v>0</v>
      </c>
      <c r="BK30" s="5">
        <f>Tableau1[[#This Row],[Base de financement]]-Tableau1[[#This Row],[Subvention ANRU]]-Tableau1[[#This Row],[Ville]]-Tableau1[[#This Row],[Plaine Commune]]-Tableau1[[#This Row],[Bailleurs]]-Tableau1[[#This Row],[CDC]]-Tableau1[[#This Row],[CD93]]-Tableau1[[#This Row],[CRIF]]-Tableau1[[#This Row],[Europe]]-Tableau1[[#This Row],[Autres]]</f>
        <v>0</v>
      </c>
      <c r="BL30" s="412">
        <f>S30-T30-V30-W30-Y30-Z30-AA30-AB30-AC30-AD30-AE30-AF30-AG30-AH30-AI30-AJ30-AK30-AL30-AM30-AN30-AO30-AP30-AQ30-AR30-AS30-AT30-AU30-AV30-AW30-AY30-BE30-BF30-Tableau1[[#This Row],[Ville de Pantin ]]-Tableau1[[#This Row],[Est-Ensemble ]]-Tableau1[[#This Row],[ASGO]]</f>
        <v>0</v>
      </c>
    </row>
    <row r="31" spans="1:64" ht="20.100000000000001" hidden="1" customHeight="1" x14ac:dyDescent="0.25">
      <c r="A31" s="264" t="s">
        <v>33</v>
      </c>
      <c r="B31" s="264" t="s">
        <v>149</v>
      </c>
      <c r="C31" s="14" t="s">
        <v>1194</v>
      </c>
      <c r="D31" s="264" t="s">
        <v>121</v>
      </c>
      <c r="E31" s="264" t="s">
        <v>36</v>
      </c>
      <c r="F31" s="264" t="s">
        <v>37</v>
      </c>
      <c r="G31" s="264"/>
      <c r="H31" s="460" t="s">
        <v>150</v>
      </c>
      <c r="I31" s="264" t="s">
        <v>150</v>
      </c>
      <c r="J31" s="264" t="s">
        <v>53</v>
      </c>
      <c r="K31" s="264" t="s">
        <v>41</v>
      </c>
      <c r="L31" s="264" t="s">
        <v>151</v>
      </c>
      <c r="M31" s="264" t="s">
        <v>831</v>
      </c>
      <c r="N31" s="264"/>
      <c r="O31" s="264" t="s">
        <v>42</v>
      </c>
      <c r="P31" s="264" t="s">
        <v>152</v>
      </c>
      <c r="Q31" s="405">
        <v>0</v>
      </c>
      <c r="R31" s="265">
        <v>0</v>
      </c>
      <c r="S31" s="265">
        <v>0</v>
      </c>
      <c r="T31" s="265">
        <v>0</v>
      </c>
      <c r="U31" s="265" t="s">
        <v>1046</v>
      </c>
      <c r="V31" s="265">
        <v>0</v>
      </c>
      <c r="W31" s="265">
        <v>22500</v>
      </c>
      <c r="X31" s="265">
        <v>0</v>
      </c>
      <c r="Y31" s="265"/>
      <c r="Z31" s="265"/>
      <c r="AA31" s="265"/>
      <c r="AB31" s="265"/>
      <c r="AC31" s="265"/>
      <c r="AD31" s="265"/>
      <c r="AE31" s="265"/>
      <c r="AF31" s="265"/>
      <c r="AG31" s="265"/>
      <c r="AH31" s="265"/>
      <c r="AI31" s="265"/>
      <c r="AJ31" s="265"/>
      <c r="AK31" s="265"/>
      <c r="AL31" s="265"/>
      <c r="AM31" s="265"/>
      <c r="AN31" s="265"/>
      <c r="AO31" s="265"/>
      <c r="AP31" s="265"/>
      <c r="AQ31" s="265">
        <f>Tableau1[[#This Row],[Bailleurs]]</f>
        <v>0</v>
      </c>
      <c r="AR31" s="265"/>
      <c r="AS31" s="265"/>
      <c r="AT31" s="265">
        <v>0</v>
      </c>
      <c r="AU31" s="265">
        <v>0</v>
      </c>
      <c r="AV31" s="265">
        <v>0</v>
      </c>
      <c r="AW31" s="265">
        <v>0</v>
      </c>
      <c r="AX31" s="265">
        <v>22500</v>
      </c>
      <c r="BC31" s="5">
        <v>22500</v>
      </c>
      <c r="BG31" s="8">
        <v>42491</v>
      </c>
      <c r="BH31" s="5">
        <v>6</v>
      </c>
      <c r="BI31" s="5">
        <v>0</v>
      </c>
      <c r="BJ31" s="5">
        <v>0</v>
      </c>
      <c r="BK31" s="5"/>
      <c r="BL31" s="412"/>
    </row>
    <row r="32" spans="1:64" ht="20.100000000000001" hidden="1" customHeight="1" x14ac:dyDescent="0.25">
      <c r="A32" s="264" t="s">
        <v>33</v>
      </c>
      <c r="B32" s="264" t="s">
        <v>156</v>
      </c>
      <c r="C32" s="14" t="s">
        <v>1195</v>
      </c>
      <c r="D32" s="264" t="s">
        <v>121</v>
      </c>
      <c r="E32" s="264"/>
      <c r="F32" s="264" t="s">
        <v>37</v>
      </c>
      <c r="G32" s="264"/>
      <c r="H32" s="460" t="s">
        <v>157</v>
      </c>
      <c r="I32" s="264"/>
      <c r="J32" s="264" t="s">
        <v>53</v>
      </c>
      <c r="K32" s="264" t="s">
        <v>47</v>
      </c>
      <c r="L32" s="264" t="s">
        <v>158</v>
      </c>
      <c r="M32" s="264"/>
      <c r="N32" s="264"/>
      <c r="O32" s="264" t="s">
        <v>42</v>
      </c>
      <c r="P32" s="264" t="s">
        <v>159</v>
      </c>
      <c r="Q32" s="405">
        <v>103778</v>
      </c>
      <c r="R32" s="265">
        <v>124533.6</v>
      </c>
      <c r="S32" s="265">
        <v>103778</v>
      </c>
      <c r="T32" s="265">
        <v>51889</v>
      </c>
      <c r="U32" s="265"/>
      <c r="V32" s="265">
        <v>0</v>
      </c>
      <c r="W32" s="265">
        <v>0</v>
      </c>
      <c r="X32" s="265">
        <v>51889</v>
      </c>
      <c r="Y32" s="265"/>
      <c r="Z32" s="265"/>
      <c r="AA32" s="265"/>
      <c r="AB32" s="265"/>
      <c r="AC32" s="265"/>
      <c r="AD32" s="265"/>
      <c r="AE32" s="265"/>
      <c r="AF32" s="265"/>
      <c r="AG32" s="265"/>
      <c r="AH32" s="265"/>
      <c r="AI32" s="265"/>
      <c r="AJ32" s="265"/>
      <c r="AK32" s="265"/>
      <c r="AL32" s="265"/>
      <c r="AM32" s="265"/>
      <c r="AN32" s="265"/>
      <c r="AO32" s="265"/>
      <c r="AP32" s="265"/>
      <c r="AQ32" s="265">
        <f>Tableau1[[#This Row],[Bailleurs]]</f>
        <v>51889</v>
      </c>
      <c r="AR32" s="265"/>
      <c r="AS32" s="265"/>
      <c r="AT32" s="265">
        <v>0</v>
      </c>
      <c r="AU32" s="265">
        <v>0</v>
      </c>
      <c r="AV32" s="265">
        <v>0</v>
      </c>
      <c r="AW32" s="265">
        <v>0</v>
      </c>
      <c r="AX32" s="265">
        <v>0</v>
      </c>
      <c r="BG32" s="8">
        <v>42430</v>
      </c>
      <c r="BH32" s="5">
        <v>6</v>
      </c>
      <c r="BI32" s="5">
        <v>0</v>
      </c>
      <c r="BJ32" s="5">
        <v>52</v>
      </c>
      <c r="BK32" s="5">
        <f>Tableau1[[#This Row],[Base de financement]]-Tableau1[[#This Row],[Subvention ANRU]]-Tableau1[[#This Row],[Ville]]-Tableau1[[#This Row],[Plaine Commune]]-Tableau1[[#This Row],[Bailleurs]]-Tableau1[[#This Row],[CDC]]-Tableau1[[#This Row],[CD93]]-Tableau1[[#This Row],[CRIF]]-Tableau1[[#This Row],[Europe]]-Tableau1[[#This Row],[Autres]]</f>
        <v>0</v>
      </c>
      <c r="BL32" s="412">
        <f>S32-T32-V32-W32-Y32-Z32-AA32-AB32-AC32-AD32-AE32-AF32-AG32-AH32-AI32-AJ32-AK32-AL32-AM32-AN32-AO32-AP32-AQ32-AR32-AS32-AT32-AU32-AV32-AW32-AY32-BE32-BF32-Tableau1[[#This Row],[Ville de Pantin ]]-Tableau1[[#This Row],[Est-Ensemble ]]-Tableau1[[#This Row],[ASGO]]</f>
        <v>0</v>
      </c>
    </row>
    <row r="33" spans="1:64" ht="20.100000000000001" hidden="1" customHeight="1" x14ac:dyDescent="0.25">
      <c r="A33" s="264" t="s">
        <v>33</v>
      </c>
      <c r="B33" s="264" t="s">
        <v>160</v>
      </c>
      <c r="C33" s="14" t="s">
        <v>1196</v>
      </c>
      <c r="D33" s="264" t="s">
        <v>121</v>
      </c>
      <c r="E33" s="264"/>
      <c r="F33" s="264" t="s">
        <v>37</v>
      </c>
      <c r="G33" s="264"/>
      <c r="H33" s="460" t="s">
        <v>161</v>
      </c>
      <c r="I33" s="264"/>
      <c r="J33" s="264" t="s">
        <v>113</v>
      </c>
      <c r="K33" s="264" t="s">
        <v>113</v>
      </c>
      <c r="L33" s="264" t="s">
        <v>48</v>
      </c>
      <c r="M33" s="264"/>
      <c r="N33" s="264" t="s">
        <v>42</v>
      </c>
      <c r="O33" s="264"/>
      <c r="P33" s="264" t="s">
        <v>162</v>
      </c>
      <c r="Q33" s="405">
        <v>66668</v>
      </c>
      <c r="R33" s="265">
        <v>80001.600000000006</v>
      </c>
      <c r="S33" s="265">
        <v>66668</v>
      </c>
      <c r="T33" s="265">
        <v>33334</v>
      </c>
      <c r="U33" s="265"/>
      <c r="V33" s="265">
        <v>16667</v>
      </c>
      <c r="W33" s="265">
        <v>8000.16</v>
      </c>
      <c r="X33" s="265">
        <v>8667</v>
      </c>
      <c r="Y33" s="265"/>
      <c r="Z33" s="265"/>
      <c r="AA33" s="265"/>
      <c r="AB33" s="265"/>
      <c r="AC33" s="265"/>
      <c r="AD33" s="265"/>
      <c r="AE33" s="265"/>
      <c r="AF33" s="265"/>
      <c r="AG33" s="265"/>
      <c r="AH33" s="265"/>
      <c r="AI33" s="265"/>
      <c r="AJ33" s="265"/>
      <c r="AK33" s="265"/>
      <c r="AL33" s="265"/>
      <c r="AM33" s="265"/>
      <c r="AN33" s="265"/>
      <c r="AO33" s="265"/>
      <c r="AP33" s="265"/>
      <c r="AQ33" s="265">
        <f>Tableau1[[#This Row],[Bailleurs]]</f>
        <v>8667</v>
      </c>
      <c r="AR33" s="265"/>
      <c r="AS33" s="265"/>
      <c r="AT33" s="265">
        <v>0</v>
      </c>
      <c r="AU33" s="265">
        <v>0</v>
      </c>
      <c r="AV33" s="265">
        <v>0</v>
      </c>
      <c r="AW33" s="265">
        <v>0</v>
      </c>
      <c r="AX33" s="265">
        <v>0</v>
      </c>
      <c r="BG33" s="8">
        <v>42491</v>
      </c>
      <c r="BH33" s="5">
        <v>18</v>
      </c>
      <c r="BI33" s="5">
        <v>0</v>
      </c>
      <c r="BJ33" s="5">
        <v>0</v>
      </c>
      <c r="BK33" s="414">
        <f>Tableau1[[#This Row],[Base de financement]]-Tableau1[[#This Row],[Subvention ANRU]]-Tableau1[[#This Row],[Ville]]-Tableau1[[#This Row],[Plaine Commune]]-Tableau1[[#This Row],[Bailleurs]]-Tableau1[[#This Row],[CDC]]-Tableau1[[#This Row],[CD93]]-Tableau1[[#This Row],[CRIF]]-Tableau1[[#This Row],[Europe]]-Tableau1[[#This Row],[Autres]]</f>
        <v>-0.15999999999985448</v>
      </c>
      <c r="BL33" s="412">
        <f>S33-T33-V33-W33-Y33-Z33-AA33-AB33-AC33-AD33-AE33-AF33-AG33-AH33-AI33-AJ33-AK33-AL33-AM33-AN33-AO33-AP33-AQ33-AR33-AS33-AT33-AU33-AV33-AW33-AY33-BE33-BF33-Tableau1[[#This Row],[Ville de Pantin ]]-Tableau1[[#This Row],[Est-Ensemble ]]-Tableau1[[#This Row],[ASGO]]</f>
        <v>-0.15999999999985448</v>
      </c>
    </row>
    <row r="34" spans="1:64" ht="20.100000000000001" customHeight="1" x14ac:dyDescent="0.25">
      <c r="A34" s="5" t="s">
        <v>163</v>
      </c>
      <c r="B34" s="5" t="s">
        <v>352</v>
      </c>
      <c r="C34" s="14" t="s">
        <v>1197</v>
      </c>
      <c r="D34" s="5" t="s">
        <v>165</v>
      </c>
      <c r="F34" s="5" t="s">
        <v>37</v>
      </c>
      <c r="G34" s="5" t="s">
        <v>181</v>
      </c>
      <c r="H34" s="404" t="s">
        <v>353</v>
      </c>
      <c r="I34" s="5" t="s">
        <v>183</v>
      </c>
      <c r="J34" s="5" t="s">
        <v>40</v>
      </c>
      <c r="K34" s="5" t="s">
        <v>41</v>
      </c>
      <c r="L34" s="5" t="s">
        <v>22</v>
      </c>
      <c r="O34" s="5" t="s">
        <v>42</v>
      </c>
      <c r="P34" s="5" t="s">
        <v>354</v>
      </c>
      <c r="Q34" s="227">
        <v>0</v>
      </c>
      <c r="R34" s="7">
        <v>0</v>
      </c>
      <c r="S34" s="7">
        <v>0</v>
      </c>
      <c r="T34" s="7">
        <v>0</v>
      </c>
      <c r="U34" s="7"/>
      <c r="V34" s="7">
        <v>0</v>
      </c>
      <c r="W34" s="7">
        <v>0</v>
      </c>
      <c r="X34" s="7">
        <v>0</v>
      </c>
      <c r="Y34" s="7"/>
      <c r="Z34" s="7"/>
      <c r="AA34" s="7"/>
      <c r="AB34" s="7"/>
      <c r="AC34" s="7"/>
      <c r="AD34" s="7"/>
      <c r="AE34" s="7"/>
      <c r="AF34" s="7"/>
      <c r="AG34" s="7"/>
      <c r="AH34" s="7"/>
      <c r="AI34" s="7"/>
      <c r="AJ34" s="7"/>
      <c r="AK34" s="7"/>
      <c r="AL34" s="7"/>
      <c r="AM34" s="7"/>
      <c r="AN34" s="7"/>
      <c r="AO34" s="7"/>
      <c r="AP34" s="7"/>
      <c r="AQ34" s="7"/>
      <c r="AR34" s="7"/>
      <c r="AS34" s="7"/>
      <c r="AT34" s="7">
        <v>0</v>
      </c>
      <c r="AU34" s="7">
        <v>0</v>
      </c>
      <c r="AV34" s="7">
        <v>0</v>
      </c>
      <c r="AW34" s="7">
        <v>0</v>
      </c>
      <c r="AX34" s="7">
        <v>0</v>
      </c>
      <c r="BG34" s="8">
        <v>42430</v>
      </c>
      <c r="BH34" s="5">
        <v>12</v>
      </c>
      <c r="BI34" s="5">
        <v>254</v>
      </c>
      <c r="BJ34" s="5">
        <v>0</v>
      </c>
      <c r="BK34" s="5">
        <f>Tableau1[[#This Row],[Base de financement]]-Tableau1[[#This Row],[Subvention ANRU]]-Tableau1[[#This Row],[Ville]]-Tableau1[[#This Row],[Plaine Commune]]-Tableau1[[#This Row],[Bailleurs]]-Tableau1[[#This Row],[CDC]]-Tableau1[[#This Row],[CD93]]-Tableau1[[#This Row],[CRIF]]-Tableau1[[#This Row],[Europe]]-Tableau1[[#This Row],[Autres]]</f>
        <v>0</v>
      </c>
      <c r="BL34" s="412">
        <f>S34-T34-V34-W34-Y34-Z34-AA34-AB34-AC34-AD34-AE34-AF34-AG34-AH34-AI34-AJ34-AK34-AL34-AM34-AN34-AO34-AP34-AQ34-AR34-AS34-AT34-AU34-AV34-AW34-AY34-BE34-BF34-Tableau1[[#This Row],[Ville de Pantin ]]-Tableau1[[#This Row],[Est-Ensemble ]]-Tableau1[[#This Row],[ASGO]]</f>
        <v>0</v>
      </c>
    </row>
    <row r="35" spans="1:64" ht="20.100000000000001" customHeight="1" x14ac:dyDescent="0.25">
      <c r="A35" s="5" t="s">
        <v>163</v>
      </c>
      <c r="B35" s="5" t="s">
        <v>355</v>
      </c>
      <c r="C35" s="14" t="s">
        <v>1197</v>
      </c>
      <c r="D35" s="5" t="s">
        <v>165</v>
      </c>
      <c r="F35" s="5" t="s">
        <v>37</v>
      </c>
      <c r="G35" s="5" t="s">
        <v>181</v>
      </c>
      <c r="H35" s="404" t="s">
        <v>356</v>
      </c>
      <c r="I35" s="5" t="s">
        <v>183</v>
      </c>
      <c r="J35" s="5" t="s">
        <v>40</v>
      </c>
      <c r="K35" s="5" t="s">
        <v>41</v>
      </c>
      <c r="L35" s="5" t="s">
        <v>22</v>
      </c>
      <c r="O35" s="5" t="s">
        <v>42</v>
      </c>
      <c r="P35" s="5" t="s">
        <v>357</v>
      </c>
      <c r="Q35" s="227">
        <v>0</v>
      </c>
      <c r="R35" s="7">
        <v>0</v>
      </c>
      <c r="S35" s="7">
        <v>0</v>
      </c>
      <c r="T35" s="7">
        <v>0</v>
      </c>
      <c r="U35" s="7"/>
      <c r="V35" s="7">
        <v>0</v>
      </c>
      <c r="W35" s="7">
        <v>0</v>
      </c>
      <c r="X35" s="7">
        <v>0</v>
      </c>
      <c r="Y35" s="7"/>
      <c r="Z35" s="7"/>
      <c r="AA35" s="7"/>
      <c r="AB35" s="7"/>
      <c r="AC35" s="7"/>
      <c r="AD35" s="7"/>
      <c r="AE35" s="7"/>
      <c r="AF35" s="7"/>
      <c r="AG35" s="7"/>
      <c r="AH35" s="7"/>
      <c r="AI35" s="7"/>
      <c r="AJ35" s="7"/>
      <c r="AK35" s="7"/>
      <c r="AL35" s="7"/>
      <c r="AM35" s="7"/>
      <c r="AN35" s="7"/>
      <c r="AO35" s="7"/>
      <c r="AP35" s="7"/>
      <c r="AQ35" s="7"/>
      <c r="AR35" s="7"/>
      <c r="AS35" s="7"/>
      <c r="AT35" s="7">
        <v>0</v>
      </c>
      <c r="AU35" s="7">
        <v>0</v>
      </c>
      <c r="AV35" s="7">
        <v>0</v>
      </c>
      <c r="AW35" s="7">
        <v>0</v>
      </c>
      <c r="AX35" s="7">
        <v>0</v>
      </c>
      <c r="BG35" s="8">
        <v>42430</v>
      </c>
      <c r="BH35" s="5">
        <v>12</v>
      </c>
      <c r="BI35" s="5">
        <v>305</v>
      </c>
      <c r="BJ35" s="5">
        <v>0</v>
      </c>
      <c r="BK35" s="5">
        <f>Tableau1[[#This Row],[Base de financement]]-Tableau1[[#This Row],[Subvention ANRU]]-Tableau1[[#This Row],[Ville]]-Tableau1[[#This Row],[Plaine Commune]]-Tableau1[[#This Row],[Bailleurs]]-Tableau1[[#This Row],[CDC]]-Tableau1[[#This Row],[CD93]]-Tableau1[[#This Row],[CRIF]]-Tableau1[[#This Row],[Europe]]-Tableau1[[#This Row],[Autres]]</f>
        <v>0</v>
      </c>
      <c r="BL35" s="412">
        <f>S35-T35-V35-W35-Y35-Z35-AA35-AB35-AC35-AD35-AE35-AF35-AG35-AH35-AI35-AJ35-AK35-AL35-AM35-AN35-AO35-AP35-AQ35-AR35-AS35-AT35-AU35-AV35-AW35-AY35-BE35-BF35-Tableau1[[#This Row],[Ville de Pantin ]]-Tableau1[[#This Row],[Est-Ensemble ]]-Tableau1[[#This Row],[ASGO]]</f>
        <v>0</v>
      </c>
    </row>
    <row r="36" spans="1:64" ht="20.100000000000001" customHeight="1" x14ac:dyDescent="0.25">
      <c r="A36" s="5" t="s">
        <v>163</v>
      </c>
      <c r="B36" s="5" t="s">
        <v>180</v>
      </c>
      <c r="C36" s="14" t="s">
        <v>1197</v>
      </c>
      <c r="D36" s="5" t="s">
        <v>165</v>
      </c>
      <c r="F36" s="5" t="s">
        <v>37</v>
      </c>
      <c r="G36" s="5" t="s">
        <v>181</v>
      </c>
      <c r="H36" s="404" t="s">
        <v>182</v>
      </c>
      <c r="I36" s="5" t="s">
        <v>183</v>
      </c>
      <c r="J36" s="5" t="s">
        <v>40</v>
      </c>
      <c r="K36" s="5" t="s">
        <v>41</v>
      </c>
      <c r="L36" s="5" t="s">
        <v>22</v>
      </c>
      <c r="O36" s="5" t="s">
        <v>42</v>
      </c>
      <c r="P36" s="5" t="s">
        <v>184</v>
      </c>
      <c r="Q36" s="227">
        <v>0</v>
      </c>
      <c r="R36" s="7">
        <v>0</v>
      </c>
      <c r="S36" s="7">
        <v>0</v>
      </c>
      <c r="T36" s="7">
        <v>0</v>
      </c>
      <c r="U36" s="7"/>
      <c r="V36" s="7">
        <v>0</v>
      </c>
      <c r="W36" s="7">
        <v>0</v>
      </c>
      <c r="X36" s="7">
        <v>0</v>
      </c>
      <c r="Y36" s="7"/>
      <c r="Z36" s="7"/>
      <c r="AA36" s="7"/>
      <c r="AB36" s="7"/>
      <c r="AC36" s="7"/>
      <c r="AD36" s="7"/>
      <c r="AE36" s="7"/>
      <c r="AF36" s="7"/>
      <c r="AG36" s="7"/>
      <c r="AH36" s="7"/>
      <c r="AI36" s="7"/>
      <c r="AJ36" s="7"/>
      <c r="AK36" s="7"/>
      <c r="AL36" s="7"/>
      <c r="AM36" s="7"/>
      <c r="AN36" s="7"/>
      <c r="AO36" s="7"/>
      <c r="AP36" s="7"/>
      <c r="AQ36" s="7">
        <f>Tableau1[[#This Row],[Bailleurs]]</f>
        <v>0</v>
      </c>
      <c r="AR36" s="7"/>
      <c r="AS36" s="7"/>
      <c r="AT36" s="7">
        <v>0</v>
      </c>
      <c r="AU36" s="7">
        <v>0</v>
      </c>
      <c r="AV36" s="7">
        <v>0</v>
      </c>
      <c r="AW36" s="7">
        <v>0</v>
      </c>
      <c r="AX36" s="7">
        <v>0</v>
      </c>
      <c r="BG36" s="8">
        <v>42644</v>
      </c>
      <c r="BH36" s="5">
        <v>12</v>
      </c>
      <c r="BI36" s="5">
        <v>301</v>
      </c>
      <c r="BJ36" s="5">
        <v>0</v>
      </c>
      <c r="BK36" s="5">
        <f>Tableau1[[#This Row],[Base de financement]]-Tableau1[[#This Row],[Subvention ANRU]]-Tableau1[[#This Row],[Ville]]-Tableau1[[#This Row],[Plaine Commune]]-Tableau1[[#This Row],[Bailleurs]]-Tableau1[[#This Row],[CDC]]-Tableau1[[#This Row],[CD93]]-Tableau1[[#This Row],[CRIF]]-Tableau1[[#This Row],[Europe]]-Tableau1[[#This Row],[Autres]]</f>
        <v>0</v>
      </c>
      <c r="BL36" s="412">
        <f>S36-T36-V36-W36-Y36-Z36-AA36-AB36-AC36-AD36-AE36-AF36-AG36-AH36-AI36-AJ36-AK36-AL36-AM36-AN36-AO36-AP36-AQ36-AR36-AS36-AT36-AU36-AV36-AW36-AY36-BE36-BF36-Tableau1[[#This Row],[Ville de Pantin ]]-Tableau1[[#This Row],[Est-Ensemble ]]-Tableau1[[#This Row],[ASGO]]</f>
        <v>0</v>
      </c>
    </row>
    <row r="37" spans="1:64" ht="20.100000000000001" customHeight="1" x14ac:dyDescent="0.25">
      <c r="A37" s="5" t="s">
        <v>163</v>
      </c>
      <c r="B37" s="5" t="s">
        <v>386</v>
      </c>
      <c r="C37" s="14" t="s">
        <v>1198</v>
      </c>
      <c r="D37" s="5" t="s">
        <v>165</v>
      </c>
      <c r="E37" s="5" t="s">
        <v>36</v>
      </c>
      <c r="F37" s="5" t="s">
        <v>37</v>
      </c>
      <c r="G37" s="5" t="s">
        <v>186</v>
      </c>
      <c r="H37" s="404" t="s">
        <v>387</v>
      </c>
      <c r="I37" s="5" t="s">
        <v>187</v>
      </c>
      <c r="J37" s="5" t="s">
        <v>40</v>
      </c>
      <c r="K37" s="5" t="s">
        <v>61</v>
      </c>
      <c r="L37" s="5" t="s">
        <v>22</v>
      </c>
      <c r="O37" s="5" t="s">
        <v>42</v>
      </c>
      <c r="P37" s="5" t="s">
        <v>388</v>
      </c>
      <c r="Q37" s="227">
        <v>50000</v>
      </c>
      <c r="R37" s="7">
        <v>60000</v>
      </c>
      <c r="S37" s="7">
        <v>50000</v>
      </c>
      <c r="T37" s="7">
        <v>20000</v>
      </c>
      <c r="U37" s="7"/>
      <c r="V37" s="7">
        <v>0</v>
      </c>
      <c r="W37" s="7">
        <v>25000</v>
      </c>
      <c r="X37" s="7">
        <v>0</v>
      </c>
      <c r="Y37" s="7"/>
      <c r="Z37" s="7"/>
      <c r="AA37" s="7"/>
      <c r="AB37" s="7"/>
      <c r="AC37" s="7"/>
      <c r="AD37" s="7"/>
      <c r="AE37" s="7"/>
      <c r="AF37" s="7"/>
      <c r="AG37" s="7"/>
      <c r="AH37" s="7"/>
      <c r="AI37" s="7"/>
      <c r="AJ37" s="7"/>
      <c r="AK37" s="7"/>
      <c r="AL37" s="7"/>
      <c r="AM37" s="7"/>
      <c r="AN37" s="7"/>
      <c r="AO37" s="7"/>
      <c r="AP37" s="7"/>
      <c r="AQ37" s="7"/>
      <c r="AR37" s="7"/>
      <c r="AS37" s="7"/>
      <c r="AT37" s="7">
        <v>5000</v>
      </c>
      <c r="AU37" s="7">
        <v>0</v>
      </c>
      <c r="AV37" s="7">
        <v>0</v>
      </c>
      <c r="AW37" s="7">
        <v>0</v>
      </c>
      <c r="AX37" s="7">
        <v>0</v>
      </c>
      <c r="BG37" s="8">
        <v>42445</v>
      </c>
      <c r="BH37" s="5">
        <v>8</v>
      </c>
      <c r="BI37" s="5">
        <v>0</v>
      </c>
      <c r="BJ37" s="5">
        <v>0</v>
      </c>
      <c r="BK37" s="5">
        <f>Tableau1[[#This Row],[Base de financement]]-Tableau1[[#This Row],[Subvention ANRU]]-Tableau1[[#This Row],[Ville]]-Tableau1[[#This Row],[Plaine Commune]]-Tableau1[[#This Row],[Bailleurs]]-Tableau1[[#This Row],[CDC]]-Tableau1[[#This Row],[CD93]]-Tableau1[[#This Row],[CRIF]]-Tableau1[[#This Row],[Europe]]-Tableau1[[#This Row],[Autres]]</f>
        <v>0</v>
      </c>
      <c r="BL37" s="412">
        <f>S37-T37-V37-W37-Y37-Z37-AA37-AB37-AC37-AD37-AE37-AF37-AG37-AH37-AI37-AJ37-AK37-AL37-AM37-AN37-AO37-AP37-AQ37-AR37-AS37-AT37-AU37-AV37-AW37-AY37-BE37-BF37-Tableau1[[#This Row],[Ville de Pantin ]]-Tableau1[[#This Row],[Est-Ensemble ]]-Tableau1[[#This Row],[ASGO]]</f>
        <v>0</v>
      </c>
    </row>
    <row r="38" spans="1:64" ht="20.100000000000001" customHeight="1" x14ac:dyDescent="0.25">
      <c r="A38" s="5" t="s">
        <v>163</v>
      </c>
      <c r="B38" s="5" t="s">
        <v>185</v>
      </c>
      <c r="C38" s="14" t="s">
        <v>1198</v>
      </c>
      <c r="D38" s="5" t="s">
        <v>165</v>
      </c>
      <c r="E38" s="5" t="s">
        <v>36</v>
      </c>
      <c r="F38" s="5" t="s">
        <v>37</v>
      </c>
      <c r="G38" s="5" t="s">
        <v>186</v>
      </c>
      <c r="H38" s="404" t="s">
        <v>1378</v>
      </c>
      <c r="I38" s="5" t="s">
        <v>187</v>
      </c>
      <c r="J38" s="5" t="s">
        <v>40</v>
      </c>
      <c r="K38" s="5" t="s">
        <v>41</v>
      </c>
      <c r="L38" s="5" t="s">
        <v>22</v>
      </c>
      <c r="O38" s="5" t="s">
        <v>42</v>
      </c>
      <c r="P38" s="5" t="s">
        <v>188</v>
      </c>
      <c r="Q38" s="227">
        <v>55000</v>
      </c>
      <c r="R38" s="7">
        <v>66000</v>
      </c>
      <c r="S38" s="7">
        <v>55000</v>
      </c>
      <c r="T38" s="7">
        <v>27500</v>
      </c>
      <c r="U38" s="7"/>
      <c r="V38" s="7">
        <v>0</v>
      </c>
      <c r="W38" s="7">
        <v>27500</v>
      </c>
      <c r="X38" s="7">
        <v>0</v>
      </c>
      <c r="Y38" s="7"/>
      <c r="Z38" s="7"/>
      <c r="AA38" s="7"/>
      <c r="AB38" s="7"/>
      <c r="AC38" s="7"/>
      <c r="AD38" s="7"/>
      <c r="AE38" s="7"/>
      <c r="AF38" s="7"/>
      <c r="AG38" s="7"/>
      <c r="AH38" s="7"/>
      <c r="AI38" s="7"/>
      <c r="AJ38" s="7"/>
      <c r="AK38" s="7"/>
      <c r="AL38" s="7"/>
      <c r="AM38" s="7"/>
      <c r="AN38" s="7"/>
      <c r="AO38" s="7"/>
      <c r="AP38" s="7"/>
      <c r="AQ38" s="7">
        <f>Tableau1[[#This Row],[Bailleurs]]</f>
        <v>0</v>
      </c>
      <c r="AR38" s="7"/>
      <c r="AS38" s="7"/>
      <c r="AT38" s="7">
        <v>0</v>
      </c>
      <c r="AU38" s="7">
        <v>0</v>
      </c>
      <c r="AV38" s="7">
        <v>0</v>
      </c>
      <c r="AW38" s="7">
        <v>0</v>
      </c>
      <c r="AX38" s="7">
        <v>0</v>
      </c>
      <c r="BG38" s="8">
        <v>42445</v>
      </c>
      <c r="BH38" s="5">
        <v>8</v>
      </c>
      <c r="BI38" s="5">
        <v>0</v>
      </c>
      <c r="BJ38" s="5">
        <v>0</v>
      </c>
      <c r="BK38" s="5">
        <f>Tableau1[[#This Row],[Base de financement]]-Tableau1[[#This Row],[Subvention ANRU]]-Tableau1[[#This Row],[Ville]]-Tableau1[[#This Row],[Plaine Commune]]-Tableau1[[#This Row],[Bailleurs]]-Tableau1[[#This Row],[CDC]]-Tableau1[[#This Row],[CD93]]-Tableau1[[#This Row],[CRIF]]-Tableau1[[#This Row],[Europe]]-Tableau1[[#This Row],[Autres]]</f>
        <v>0</v>
      </c>
      <c r="BL38" s="412">
        <f>S38-T38-V38-W38-Y38-Z38-AA38-AB38-AC38-AD38-AE38-AF38-AG38-AH38-AI38-AJ38-AK38-AL38-AM38-AN38-AO38-AP38-AQ38-AR38-AS38-AT38-AU38-AV38-AW38-AY38-BE38-BF38-Tableau1[[#This Row],[Ville de Pantin ]]-Tableau1[[#This Row],[Est-Ensemble ]]-Tableau1[[#This Row],[ASGO]]</f>
        <v>0</v>
      </c>
    </row>
    <row r="39" spans="1:64" ht="20.100000000000001" hidden="1" customHeight="1" x14ac:dyDescent="0.25">
      <c r="A39" s="5" t="s">
        <v>163</v>
      </c>
      <c r="B39" s="5" t="s">
        <v>358</v>
      </c>
      <c r="C39" s="14" t="s">
        <v>1199</v>
      </c>
      <c r="D39" s="5" t="s">
        <v>165</v>
      </c>
      <c r="F39" s="5" t="s">
        <v>37</v>
      </c>
      <c r="H39" s="404" t="s">
        <v>359</v>
      </c>
      <c r="J39" s="5" t="s">
        <v>53</v>
      </c>
      <c r="K39" s="5" t="s">
        <v>41</v>
      </c>
      <c r="L39" s="5" t="s">
        <v>360</v>
      </c>
      <c r="O39" s="5" t="s">
        <v>42</v>
      </c>
      <c r="P39" s="5" t="s">
        <v>361</v>
      </c>
      <c r="Q39" s="227">
        <v>80000</v>
      </c>
      <c r="R39" s="7">
        <v>96000</v>
      </c>
      <c r="S39" s="7">
        <v>80000</v>
      </c>
      <c r="T39" s="7">
        <v>40000</v>
      </c>
      <c r="U39" s="7"/>
      <c r="V39" s="7">
        <v>0</v>
      </c>
      <c r="W39" s="7">
        <v>0</v>
      </c>
      <c r="X39" s="7">
        <v>0</v>
      </c>
      <c r="Y39" s="7"/>
      <c r="Z39" s="7"/>
      <c r="AA39" s="7"/>
      <c r="AB39" s="7"/>
      <c r="AC39" s="7"/>
      <c r="AD39" s="7"/>
      <c r="AE39" s="7"/>
      <c r="AF39" s="7"/>
      <c r="AG39" s="7"/>
      <c r="AH39" s="7"/>
      <c r="AI39" s="7"/>
      <c r="AJ39" s="7"/>
      <c r="AK39" s="7"/>
      <c r="AL39" s="7"/>
      <c r="AM39" s="7"/>
      <c r="AN39" s="7"/>
      <c r="AO39" s="7"/>
      <c r="AP39" s="7"/>
      <c r="AQ39" s="7"/>
      <c r="AR39" s="7"/>
      <c r="AS39" s="7"/>
      <c r="AT39" s="7">
        <v>0</v>
      </c>
      <c r="AU39" s="7">
        <v>0</v>
      </c>
      <c r="AV39" s="7">
        <v>0</v>
      </c>
      <c r="AW39" s="7">
        <v>0</v>
      </c>
      <c r="AX39" s="7">
        <v>40000</v>
      </c>
      <c r="BA39" s="7">
        <v>40000</v>
      </c>
      <c r="BG39" s="8">
        <v>42445</v>
      </c>
      <c r="BH39" s="5">
        <v>10</v>
      </c>
      <c r="BI39" s="5">
        <v>0</v>
      </c>
      <c r="BJ39" s="5">
        <v>0</v>
      </c>
      <c r="BK39" s="5">
        <f>Tableau1[[#This Row],[Base de financement]]-Tableau1[[#This Row],[Subvention ANRU]]-Tableau1[[#This Row],[Ville]]-Tableau1[[#This Row],[Plaine Commune]]-Tableau1[[#This Row],[Bailleurs]]-Tableau1[[#This Row],[CDC]]-Tableau1[[#This Row],[CD93]]-Tableau1[[#This Row],[CRIF]]-Tableau1[[#This Row],[Europe]]-Tableau1[[#This Row],[Autres]]</f>
        <v>0</v>
      </c>
      <c r="BL39" s="412">
        <f>S39-T39-V39-W39-Y39-Z39-AA39-AB39-AC39-AD39-AE39-AF39-AG39-AH39-AI39-AJ39-AK39-AL39-AM39-AN39-AO39-AP39-AQ39-AR39-AS39-AT39-AU39-AV39-AW39-AY39-BE39-BF39-Tableau1[[#This Row],[Ville de Pantin ]]-Tableau1[[#This Row],[Est-Ensemble ]]-Tableau1[[#This Row],[ASGO]]-Tableau1[[#This Row],[SEM PCD]]</f>
        <v>0</v>
      </c>
    </row>
    <row r="40" spans="1:64" ht="20.100000000000001" hidden="1" customHeight="1" x14ac:dyDescent="0.25">
      <c r="A40" s="5" t="s">
        <v>163</v>
      </c>
      <c r="B40" s="5" t="s">
        <v>362</v>
      </c>
      <c r="C40" s="14" t="s">
        <v>1200</v>
      </c>
      <c r="D40" s="5" t="s">
        <v>165</v>
      </c>
      <c r="F40" s="5" t="s">
        <v>37</v>
      </c>
      <c r="H40" s="404" t="s">
        <v>363</v>
      </c>
      <c r="J40" s="5" t="s">
        <v>53</v>
      </c>
      <c r="K40" s="5" t="s">
        <v>61</v>
      </c>
      <c r="L40" s="5" t="s">
        <v>360</v>
      </c>
      <c r="O40" s="5" t="s">
        <v>42</v>
      </c>
      <c r="P40" s="5" t="s">
        <v>364</v>
      </c>
      <c r="Q40" s="227">
        <v>40000</v>
      </c>
      <c r="R40" s="7">
        <v>48000</v>
      </c>
      <c r="S40" s="7">
        <v>40000</v>
      </c>
      <c r="T40" s="7">
        <v>20000</v>
      </c>
      <c r="U40" s="7"/>
      <c r="V40" s="7">
        <v>0</v>
      </c>
      <c r="W40" s="7">
        <v>0</v>
      </c>
      <c r="X40" s="7">
        <v>0</v>
      </c>
      <c r="Y40" s="7"/>
      <c r="Z40" s="7"/>
      <c r="AA40" s="7"/>
      <c r="AB40" s="7"/>
      <c r="AC40" s="7"/>
      <c r="AD40" s="7"/>
      <c r="AE40" s="7"/>
      <c r="AF40" s="7"/>
      <c r="AG40" s="7"/>
      <c r="AH40" s="7"/>
      <c r="AI40" s="7"/>
      <c r="AJ40" s="7"/>
      <c r="AK40" s="7"/>
      <c r="AL40" s="7"/>
      <c r="AM40" s="7"/>
      <c r="AN40" s="7"/>
      <c r="AO40" s="7"/>
      <c r="AP40" s="7"/>
      <c r="AQ40" s="7"/>
      <c r="AR40" s="7"/>
      <c r="AS40" s="7"/>
      <c r="AT40" s="7">
        <v>0</v>
      </c>
      <c r="AU40" s="7">
        <v>0</v>
      </c>
      <c r="AV40" s="7">
        <v>0</v>
      </c>
      <c r="AW40" s="7">
        <v>0</v>
      </c>
      <c r="AX40" s="7">
        <v>20000</v>
      </c>
      <c r="BA40" s="7">
        <v>20000</v>
      </c>
      <c r="BG40" s="8">
        <v>42445</v>
      </c>
      <c r="BH40" s="5">
        <v>6</v>
      </c>
      <c r="BI40" s="5">
        <v>0</v>
      </c>
      <c r="BJ40" s="5">
        <v>0</v>
      </c>
      <c r="BK40" s="5">
        <f>Tableau1[[#This Row],[Base de financement]]-Tableau1[[#This Row],[Subvention ANRU]]-Tableau1[[#This Row],[Ville]]-Tableau1[[#This Row],[Plaine Commune]]-Tableau1[[#This Row],[Bailleurs]]-Tableau1[[#This Row],[CDC]]-Tableau1[[#This Row],[CD93]]-Tableau1[[#This Row],[CRIF]]-Tableau1[[#This Row],[Europe]]-Tableau1[[#This Row],[Autres]]</f>
        <v>0</v>
      </c>
      <c r="BL40" s="412">
        <f>S40-T40-V40-W40-Y40-Z40-AA40-AB40-AC40-AD40-AE40-AF40-AG40-AH40-AI40-AJ40-AK40-AL40-AM40-AN40-AO40-AP40-AQ40-AR40-AS40-AT40-AU40-AV40-AW40-AY40-BE40-BF40-Tableau1[[#This Row],[Ville de Pantin ]]-Tableau1[[#This Row],[Est-Ensemble ]]-Tableau1[[#This Row],[ASGO]]-Tableau1[[#This Row],[SEM PCD]]</f>
        <v>0</v>
      </c>
    </row>
    <row r="41" spans="1:64" ht="20.100000000000001" hidden="1" customHeight="1" x14ac:dyDescent="0.25">
      <c r="A41" s="5" t="s">
        <v>163</v>
      </c>
      <c r="B41" s="5" t="s">
        <v>365</v>
      </c>
      <c r="C41" s="14" t="s">
        <v>1201</v>
      </c>
      <c r="D41" s="5" t="s">
        <v>165</v>
      </c>
      <c r="F41" s="5" t="s">
        <v>37</v>
      </c>
      <c r="H41" s="404" t="s">
        <v>366</v>
      </c>
      <c r="J41" s="5" t="s">
        <v>53</v>
      </c>
      <c r="K41" s="5" t="s">
        <v>61</v>
      </c>
      <c r="L41" s="5" t="s">
        <v>360</v>
      </c>
      <c r="O41" s="5" t="s">
        <v>42</v>
      </c>
      <c r="P41" s="5" t="s">
        <v>367</v>
      </c>
      <c r="Q41" s="227">
        <v>10000</v>
      </c>
      <c r="R41" s="7">
        <v>12000</v>
      </c>
      <c r="S41" s="7">
        <v>10000</v>
      </c>
      <c r="T41" s="7">
        <v>5000</v>
      </c>
      <c r="U41" s="7"/>
      <c r="V41" s="7">
        <v>0</v>
      </c>
      <c r="W41" s="7">
        <v>0</v>
      </c>
      <c r="X41" s="7">
        <v>0</v>
      </c>
      <c r="Y41" s="7"/>
      <c r="Z41" s="7"/>
      <c r="AA41" s="7"/>
      <c r="AB41" s="7"/>
      <c r="AC41" s="7"/>
      <c r="AD41" s="7"/>
      <c r="AE41" s="7"/>
      <c r="AF41" s="7"/>
      <c r="AG41" s="7"/>
      <c r="AH41" s="7"/>
      <c r="AI41" s="7"/>
      <c r="AJ41" s="7"/>
      <c r="AK41" s="7"/>
      <c r="AL41" s="7"/>
      <c r="AM41" s="7"/>
      <c r="AN41" s="7"/>
      <c r="AO41" s="7"/>
      <c r="AP41" s="7"/>
      <c r="AQ41" s="7"/>
      <c r="AR41" s="7"/>
      <c r="AS41" s="7"/>
      <c r="AT41" s="7">
        <v>0</v>
      </c>
      <c r="AU41" s="7">
        <v>0</v>
      </c>
      <c r="AV41" s="7">
        <v>0</v>
      </c>
      <c r="AW41" s="7">
        <v>0</v>
      </c>
      <c r="AX41" s="7">
        <v>5000</v>
      </c>
      <c r="BA41" s="7">
        <v>5000</v>
      </c>
      <c r="BG41" s="8">
        <v>42445</v>
      </c>
      <c r="BH41" s="5">
        <v>3</v>
      </c>
      <c r="BI41" s="5">
        <v>0</v>
      </c>
      <c r="BJ41" s="5">
        <v>0</v>
      </c>
      <c r="BK41" s="5">
        <f>Tableau1[[#This Row],[Base de financement]]-Tableau1[[#This Row],[Subvention ANRU]]-Tableau1[[#This Row],[Ville]]-Tableau1[[#This Row],[Plaine Commune]]-Tableau1[[#This Row],[Bailleurs]]-Tableau1[[#This Row],[CDC]]-Tableau1[[#This Row],[CD93]]-Tableau1[[#This Row],[CRIF]]-Tableau1[[#This Row],[Europe]]-Tableau1[[#This Row],[Autres]]</f>
        <v>0</v>
      </c>
      <c r="BL41" s="412">
        <f>S41-T41-V41-W41-Y41-Z41-AA41-AB41-AC41-AD41-AE41-AF41-AG41-AH41-AI41-AJ41-AK41-AL41-AM41-AN41-AO41-AP41-AQ41-AR41-AS41-AT41-AU41-AV41-AW41-AY41-BE41-BF41-Tableau1[[#This Row],[Ville de Pantin ]]-Tableau1[[#This Row],[Est-Ensemble ]]-Tableau1[[#This Row],[ASGO]]-Tableau1[[#This Row],[SEM PCD]]</f>
        <v>0</v>
      </c>
    </row>
    <row r="42" spans="1:64" ht="20.100000000000001" hidden="1" customHeight="1" x14ac:dyDescent="0.25">
      <c r="A42" s="5" t="s">
        <v>163</v>
      </c>
      <c r="B42" s="5" t="s">
        <v>368</v>
      </c>
      <c r="C42" s="14" t="s">
        <v>1202</v>
      </c>
      <c r="D42" s="5" t="s">
        <v>165</v>
      </c>
      <c r="F42" s="5" t="s">
        <v>37</v>
      </c>
      <c r="H42" s="404" t="s">
        <v>369</v>
      </c>
      <c r="J42" s="5" t="s">
        <v>53</v>
      </c>
      <c r="K42" s="5" t="s">
        <v>61</v>
      </c>
      <c r="L42" s="5" t="s">
        <v>360</v>
      </c>
      <c r="O42" s="5" t="s">
        <v>42</v>
      </c>
      <c r="P42" s="5" t="s">
        <v>370</v>
      </c>
      <c r="Q42" s="227">
        <v>10000</v>
      </c>
      <c r="R42" s="7">
        <v>12000</v>
      </c>
      <c r="S42" s="7">
        <v>10000</v>
      </c>
      <c r="T42" s="7">
        <v>5000</v>
      </c>
      <c r="U42" s="7"/>
      <c r="V42" s="7">
        <v>0</v>
      </c>
      <c r="W42" s="7">
        <v>0</v>
      </c>
      <c r="X42" s="7">
        <v>0</v>
      </c>
      <c r="Y42" s="7"/>
      <c r="Z42" s="7"/>
      <c r="AA42" s="7"/>
      <c r="AB42" s="7"/>
      <c r="AC42" s="7"/>
      <c r="AD42" s="7"/>
      <c r="AE42" s="7"/>
      <c r="AF42" s="7"/>
      <c r="AG42" s="7"/>
      <c r="AH42" s="7"/>
      <c r="AI42" s="7"/>
      <c r="AJ42" s="7"/>
      <c r="AK42" s="7"/>
      <c r="AL42" s="7"/>
      <c r="AM42" s="7"/>
      <c r="AN42" s="7"/>
      <c r="AO42" s="7"/>
      <c r="AP42" s="7"/>
      <c r="AQ42" s="7"/>
      <c r="AR42" s="7"/>
      <c r="AS42" s="7"/>
      <c r="AT42" s="7">
        <v>0</v>
      </c>
      <c r="AU42" s="7">
        <v>0</v>
      </c>
      <c r="AV42" s="7">
        <v>0</v>
      </c>
      <c r="AW42" s="7">
        <v>0</v>
      </c>
      <c r="AX42" s="7">
        <v>5000</v>
      </c>
      <c r="BA42" s="7">
        <v>5000</v>
      </c>
      <c r="BG42" s="8">
        <v>42430</v>
      </c>
      <c r="BH42" s="5">
        <v>1</v>
      </c>
      <c r="BI42" s="5">
        <v>0</v>
      </c>
      <c r="BJ42" s="5">
        <v>0</v>
      </c>
      <c r="BK42" s="5">
        <f>Tableau1[[#This Row],[Base de financement]]-Tableau1[[#This Row],[Subvention ANRU]]-Tableau1[[#This Row],[Ville]]-Tableau1[[#This Row],[Plaine Commune]]-Tableau1[[#This Row],[Bailleurs]]-Tableau1[[#This Row],[CDC]]-Tableau1[[#This Row],[CD93]]-Tableau1[[#This Row],[CRIF]]-Tableau1[[#This Row],[Europe]]-Tableau1[[#This Row],[Autres]]</f>
        <v>0</v>
      </c>
      <c r="BL42" s="412">
        <f>S42-T42-V42-W42-Y42-Z42-AA42-AB42-AC42-AD42-AE42-AF42-AG42-AH42-AI42-AJ42-AK42-AL42-AM42-AN42-AO42-AP42-AQ42-AR42-AS42-AT42-AU42-AV42-AW42-AY42-BE42-BF42-Tableau1[[#This Row],[Ville de Pantin ]]-Tableau1[[#This Row],[Est-Ensemble ]]-Tableau1[[#This Row],[ASGO]]-Tableau1[[#This Row],[SEM PCD]]</f>
        <v>0</v>
      </c>
    </row>
    <row r="43" spans="1:64" ht="20.100000000000001" hidden="1" customHeight="1" x14ac:dyDescent="0.25">
      <c r="A43" s="5" t="s">
        <v>163</v>
      </c>
      <c r="B43" s="5" t="s">
        <v>371</v>
      </c>
      <c r="C43" s="14" t="s">
        <v>1203</v>
      </c>
      <c r="D43" s="5" t="s">
        <v>165</v>
      </c>
      <c r="F43" s="5" t="s">
        <v>37</v>
      </c>
      <c r="H43" s="404" t="s">
        <v>372</v>
      </c>
      <c r="J43" s="5" t="s">
        <v>53</v>
      </c>
      <c r="K43" s="5" t="s">
        <v>61</v>
      </c>
      <c r="L43" s="5" t="s">
        <v>373</v>
      </c>
      <c r="O43" s="5" t="s">
        <v>42</v>
      </c>
      <c r="P43" s="5" t="s">
        <v>372</v>
      </c>
      <c r="Q43" s="227">
        <v>20000</v>
      </c>
      <c r="R43" s="7">
        <v>24000</v>
      </c>
      <c r="S43" s="7">
        <v>20000</v>
      </c>
      <c r="T43" s="7">
        <v>10000</v>
      </c>
      <c r="U43" s="7"/>
      <c r="V43" s="7">
        <v>0</v>
      </c>
      <c r="W43" s="7">
        <v>0</v>
      </c>
      <c r="X43" s="7">
        <v>0</v>
      </c>
      <c r="Y43" s="7"/>
      <c r="Z43" s="7"/>
      <c r="AA43" s="7"/>
      <c r="AB43" s="7"/>
      <c r="AC43" s="7"/>
      <c r="AD43" s="7"/>
      <c r="AE43" s="7"/>
      <c r="AF43" s="7"/>
      <c r="AG43" s="7"/>
      <c r="AH43" s="7"/>
      <c r="AI43" s="7"/>
      <c r="AJ43" s="7"/>
      <c r="AK43" s="7"/>
      <c r="AL43" s="7"/>
      <c r="AM43" s="7"/>
      <c r="AN43" s="7"/>
      <c r="AO43" s="7"/>
      <c r="AP43" s="7"/>
      <c r="AQ43" s="7"/>
      <c r="AR43" s="7"/>
      <c r="AS43" s="7"/>
      <c r="AT43" s="7">
        <v>0</v>
      </c>
      <c r="AU43" s="7">
        <v>0</v>
      </c>
      <c r="AV43" s="7">
        <v>0</v>
      </c>
      <c r="AW43" s="7">
        <v>0</v>
      </c>
      <c r="AX43" s="7">
        <v>10000</v>
      </c>
      <c r="AZ43" s="7">
        <v>10000</v>
      </c>
      <c r="BG43" s="8">
        <v>42445</v>
      </c>
      <c r="BH43" s="5">
        <v>6</v>
      </c>
      <c r="BI43" s="5">
        <v>0</v>
      </c>
      <c r="BJ43" s="5">
        <v>0</v>
      </c>
      <c r="BK43" s="5">
        <f>Tableau1[[#This Row],[Base de financement]]-Tableau1[[#This Row],[Subvention ANRU]]-Tableau1[[#This Row],[Ville]]-Tableau1[[#This Row],[Plaine Commune]]-Tableau1[[#This Row],[Bailleurs]]-Tableau1[[#This Row],[CDC]]-Tableau1[[#This Row],[CD93]]-Tableau1[[#This Row],[CRIF]]-Tableau1[[#This Row],[Europe]]-Tableau1[[#This Row],[Autres]]</f>
        <v>0</v>
      </c>
      <c r="BL43" s="412">
        <f>S43-T43-V43-W43-Y43-Z43-AA43-AB43-AC43-AD43-AE43-AF43-AG43-AH43-AI43-AJ43-AK43-AL43-AM43-AN43-AO43-AP43-AQ43-AR43-AS43-AT43-AU43-AV43-AW43-AY43-BE43-BF43-Tableau1[[#This Row],[Ville de Pantin ]]-Tableau1[[#This Row],[Est-Ensemble ]]-Tableau1[[#This Row],[ASGO]]-Tableau1[[#This Row],[Syndicat Mixte des Réseaux D''énergies Calorifiques]]</f>
        <v>0</v>
      </c>
    </row>
    <row r="44" spans="1:64" ht="20.100000000000001" hidden="1" customHeight="1" x14ac:dyDescent="0.25">
      <c r="A44" s="5" t="s">
        <v>163</v>
      </c>
      <c r="B44" s="5" t="s">
        <v>374</v>
      </c>
      <c r="C44" s="14" t="s">
        <v>1204</v>
      </c>
      <c r="D44" s="5" t="s">
        <v>165</v>
      </c>
      <c r="F44" s="5" t="s">
        <v>37</v>
      </c>
      <c r="H44" s="404" t="s">
        <v>375</v>
      </c>
      <c r="J44" s="5" t="s">
        <v>68</v>
      </c>
      <c r="K44" s="5" t="s">
        <v>69</v>
      </c>
      <c r="L44" s="5" t="s">
        <v>243</v>
      </c>
      <c r="O44" s="5" t="s">
        <v>42</v>
      </c>
      <c r="P44" s="5" t="s">
        <v>376</v>
      </c>
      <c r="Q44" s="227">
        <v>98676</v>
      </c>
      <c r="R44" s="7">
        <v>118410</v>
      </c>
      <c r="S44" s="7">
        <v>98676</v>
      </c>
      <c r="T44" s="7">
        <v>49338</v>
      </c>
      <c r="U44" s="7"/>
      <c r="V44" s="7">
        <v>0</v>
      </c>
      <c r="W44" s="7">
        <v>0</v>
      </c>
      <c r="X44" s="7">
        <v>49338</v>
      </c>
      <c r="Y44" s="7"/>
      <c r="Z44" s="7"/>
      <c r="AA44" s="7"/>
      <c r="AB44" s="7"/>
      <c r="AC44" s="7"/>
      <c r="AD44" s="7"/>
      <c r="AE44" s="7"/>
      <c r="AF44" s="7"/>
      <c r="AG44" s="7">
        <v>49338</v>
      </c>
      <c r="AH44" s="7"/>
      <c r="AI44" s="7"/>
      <c r="AJ44" s="7"/>
      <c r="AK44" s="7"/>
      <c r="AL44" s="7"/>
      <c r="AM44" s="7"/>
      <c r="AN44" s="7"/>
      <c r="AO44" s="7"/>
      <c r="AP44" s="7"/>
      <c r="AQ44" s="7"/>
      <c r="AR44" s="7"/>
      <c r="AS44" s="7"/>
      <c r="AT44" s="7">
        <v>0</v>
      </c>
      <c r="AU44" s="7">
        <v>0</v>
      </c>
      <c r="AV44" s="7">
        <v>0</v>
      </c>
      <c r="AW44" s="7">
        <v>0</v>
      </c>
      <c r="AX44" s="7">
        <v>0</v>
      </c>
      <c r="BG44" s="8">
        <v>42552</v>
      </c>
      <c r="BH44" s="5">
        <v>3</v>
      </c>
      <c r="BI44" s="5">
        <v>301</v>
      </c>
      <c r="BJ44" s="5">
        <v>0</v>
      </c>
      <c r="BK44" s="5">
        <f>Tableau1[[#This Row],[Base de financement]]-Tableau1[[#This Row],[Subvention ANRU]]-Tableau1[[#This Row],[Ville]]-Tableau1[[#This Row],[Plaine Commune]]-Tableau1[[#This Row],[Bailleurs]]-Tableau1[[#This Row],[CDC]]-Tableau1[[#This Row],[CD93]]-Tableau1[[#This Row],[CRIF]]-Tableau1[[#This Row],[Europe]]-Tableau1[[#This Row],[Autres]]</f>
        <v>0</v>
      </c>
      <c r="BL44" s="412">
        <f>S44-T44-V44-W44-Y44-Z44-AA44-AB44-AC44-AD44-AE44-AF44-AG44-AH44-AI44-AJ44-AK44-AL44-AM44-AN44-AO44-AP44-AQ44-AR44-AS44-AT44-AU44-AV44-AW44-AY44-BE44-BF44-Tableau1[[#This Row],[Ville de Pantin ]]-Tableau1[[#This Row],[Est-Ensemble ]]-Tableau1[[#This Row],[ASGO]]</f>
        <v>0</v>
      </c>
    </row>
    <row r="45" spans="1:64" ht="20.100000000000001" hidden="1" customHeight="1" x14ac:dyDescent="0.25">
      <c r="A45" s="5" t="s">
        <v>163</v>
      </c>
      <c r="B45" s="5" t="s">
        <v>377</v>
      </c>
      <c r="C45" s="14" t="s">
        <v>1205</v>
      </c>
      <c r="D45" s="5" t="s">
        <v>165</v>
      </c>
      <c r="F45" s="5" t="s">
        <v>37</v>
      </c>
      <c r="H45" s="404" t="s">
        <v>378</v>
      </c>
      <c r="J45" s="5" t="s">
        <v>68</v>
      </c>
      <c r="K45" s="5" t="s">
        <v>69</v>
      </c>
      <c r="L45" s="5" t="s">
        <v>243</v>
      </c>
      <c r="O45" s="5" t="s">
        <v>42</v>
      </c>
      <c r="P45" s="5" t="s">
        <v>379</v>
      </c>
      <c r="Q45" s="227">
        <v>31354</v>
      </c>
      <c r="R45" s="7">
        <v>37625</v>
      </c>
      <c r="S45" s="7">
        <v>31354</v>
      </c>
      <c r="T45" s="7">
        <v>15677</v>
      </c>
      <c r="U45" s="7"/>
      <c r="V45" s="7">
        <v>0</v>
      </c>
      <c r="W45" s="7">
        <v>0</v>
      </c>
      <c r="X45" s="7">
        <v>15677</v>
      </c>
      <c r="Y45" s="7"/>
      <c r="Z45" s="7"/>
      <c r="AA45" s="7"/>
      <c r="AB45" s="7"/>
      <c r="AC45" s="7"/>
      <c r="AD45" s="7"/>
      <c r="AE45" s="7"/>
      <c r="AF45" s="7"/>
      <c r="AG45" s="7">
        <v>15677</v>
      </c>
      <c r="AH45" s="7"/>
      <c r="AI45" s="7"/>
      <c r="AJ45" s="7"/>
      <c r="AK45" s="7"/>
      <c r="AL45" s="7"/>
      <c r="AM45" s="7"/>
      <c r="AN45" s="7"/>
      <c r="AO45" s="7"/>
      <c r="AP45" s="7"/>
      <c r="AQ45" s="7"/>
      <c r="AR45" s="7"/>
      <c r="AS45" s="7"/>
      <c r="AT45" s="7">
        <v>0</v>
      </c>
      <c r="AU45" s="7">
        <v>0</v>
      </c>
      <c r="AV45" s="7">
        <v>0</v>
      </c>
      <c r="AW45" s="7">
        <v>0</v>
      </c>
      <c r="AX45" s="7">
        <v>0</v>
      </c>
      <c r="BG45" s="8">
        <v>42736</v>
      </c>
      <c r="BH45" s="5">
        <v>6</v>
      </c>
      <c r="BI45" s="5">
        <v>0</v>
      </c>
      <c r="BJ45" s="5">
        <v>0</v>
      </c>
      <c r="BK45" s="5">
        <f>Tableau1[[#This Row],[Base de financement]]-Tableau1[[#This Row],[Subvention ANRU]]-Tableau1[[#This Row],[Ville]]-Tableau1[[#This Row],[Plaine Commune]]-Tableau1[[#This Row],[Bailleurs]]-Tableau1[[#This Row],[CDC]]-Tableau1[[#This Row],[CD93]]-Tableau1[[#This Row],[CRIF]]-Tableau1[[#This Row],[Europe]]-Tableau1[[#This Row],[Autres]]</f>
        <v>0</v>
      </c>
      <c r="BL45" s="412">
        <f>S45-T45-V45-W45-Y45-Z45-AA45-AB45-AC45-AD45-AE45-AF45-AG45-AH45-AI45-AJ45-AK45-AL45-AM45-AN45-AO45-AP45-AQ45-AR45-AS45-AT45-AU45-AV45-AW45-AY45-BE45-BF45-Tableau1[[#This Row],[Ville de Pantin ]]-Tableau1[[#This Row],[Est-Ensemble ]]-Tableau1[[#This Row],[ASGO]]</f>
        <v>0</v>
      </c>
    </row>
    <row r="46" spans="1:64" ht="20.100000000000001" hidden="1" customHeight="1" x14ac:dyDescent="0.25">
      <c r="A46" s="5" t="s">
        <v>163</v>
      </c>
      <c r="B46" s="5" t="s">
        <v>380</v>
      </c>
      <c r="C46" s="14" t="s">
        <v>1206</v>
      </c>
      <c r="D46" s="5" t="s">
        <v>165</v>
      </c>
      <c r="F46" s="5" t="s">
        <v>37</v>
      </c>
      <c r="H46" s="404" t="s">
        <v>381</v>
      </c>
      <c r="J46" s="5" t="s">
        <v>53</v>
      </c>
      <c r="K46" s="5" t="s">
        <v>61</v>
      </c>
      <c r="L46" s="5" t="s">
        <v>243</v>
      </c>
      <c r="O46" s="5" t="s">
        <v>42</v>
      </c>
      <c r="P46" s="5" t="s">
        <v>382</v>
      </c>
      <c r="Q46" s="227">
        <v>80000</v>
      </c>
      <c r="R46" s="7">
        <v>96000</v>
      </c>
      <c r="S46" s="7">
        <v>80000</v>
      </c>
      <c r="T46" s="7">
        <v>40000</v>
      </c>
      <c r="U46" s="7"/>
      <c r="V46" s="7">
        <v>0</v>
      </c>
      <c r="W46" s="7">
        <v>0</v>
      </c>
      <c r="X46" s="7">
        <v>40000</v>
      </c>
      <c r="Y46" s="7"/>
      <c r="Z46" s="7"/>
      <c r="AA46" s="7"/>
      <c r="AB46" s="7"/>
      <c r="AC46" s="7"/>
      <c r="AD46" s="7"/>
      <c r="AE46" s="7"/>
      <c r="AF46" s="7"/>
      <c r="AG46" s="7">
        <v>40000</v>
      </c>
      <c r="AH46" s="7"/>
      <c r="AI46" s="7"/>
      <c r="AJ46" s="7"/>
      <c r="AK46" s="7"/>
      <c r="AL46" s="7"/>
      <c r="AM46" s="7"/>
      <c r="AN46" s="7"/>
      <c r="AO46" s="7"/>
      <c r="AP46" s="7"/>
      <c r="AQ46" s="7"/>
      <c r="AR46" s="7"/>
      <c r="AS46" s="7"/>
      <c r="AT46" s="7">
        <v>0</v>
      </c>
      <c r="AU46" s="7">
        <v>0</v>
      </c>
      <c r="AV46" s="7">
        <v>0</v>
      </c>
      <c r="AW46" s="7">
        <v>0</v>
      </c>
      <c r="AX46" s="7">
        <v>0</v>
      </c>
      <c r="BG46" s="8">
        <v>42675</v>
      </c>
      <c r="BH46" s="5">
        <v>3</v>
      </c>
      <c r="BI46" s="5">
        <v>0</v>
      </c>
      <c r="BJ46" s="5">
        <v>0</v>
      </c>
      <c r="BK46" s="5">
        <f>Tableau1[[#This Row],[Base de financement]]-Tableau1[[#This Row],[Subvention ANRU]]-Tableau1[[#This Row],[Ville]]-Tableau1[[#This Row],[Plaine Commune]]-Tableau1[[#This Row],[Bailleurs]]-Tableau1[[#This Row],[CDC]]-Tableau1[[#This Row],[CD93]]-Tableau1[[#This Row],[CRIF]]-Tableau1[[#This Row],[Europe]]-Tableau1[[#This Row],[Autres]]</f>
        <v>0</v>
      </c>
      <c r="BL46" s="412">
        <f>S46-T46-V46-W46-Y46-Z46-AA46-AB46-AC46-AD46-AE46-AF46-AG46-AH46-AI46-AJ46-AK46-AL46-AM46-AN46-AO46-AP46-AQ46-AR46-AS46-AT46-AU46-AV46-AW46-AY46-BE46-BF46-Tableau1[[#This Row],[Ville de Pantin ]]-Tableau1[[#This Row],[Est-Ensemble ]]-Tableau1[[#This Row],[ASGO]]</f>
        <v>0</v>
      </c>
    </row>
    <row r="47" spans="1:64" ht="20.100000000000001" hidden="1" customHeight="1" x14ac:dyDescent="0.25">
      <c r="A47" s="5" t="s">
        <v>163</v>
      </c>
      <c r="B47" s="5" t="s">
        <v>383</v>
      </c>
      <c r="C47" s="14" t="s">
        <v>1207</v>
      </c>
      <c r="D47" s="5" t="s">
        <v>165</v>
      </c>
      <c r="F47" s="5" t="s">
        <v>37</v>
      </c>
      <c r="H47" s="404" t="s">
        <v>384</v>
      </c>
      <c r="J47" s="5" t="s">
        <v>68</v>
      </c>
      <c r="K47" s="5" t="s">
        <v>69</v>
      </c>
      <c r="L47" s="5" t="s">
        <v>243</v>
      </c>
      <c r="O47" s="5" t="s">
        <v>42</v>
      </c>
      <c r="P47" s="5" t="s">
        <v>385</v>
      </c>
      <c r="Q47" s="227">
        <v>35958</v>
      </c>
      <c r="R47" s="7">
        <v>43150</v>
      </c>
      <c r="S47" s="7">
        <v>35958</v>
      </c>
      <c r="T47" s="7">
        <v>17979</v>
      </c>
      <c r="U47" s="7"/>
      <c r="V47" s="7">
        <v>0</v>
      </c>
      <c r="W47" s="7">
        <v>0</v>
      </c>
      <c r="X47" s="7">
        <v>17979</v>
      </c>
      <c r="Y47" s="7"/>
      <c r="Z47" s="7"/>
      <c r="AA47" s="7"/>
      <c r="AB47" s="7"/>
      <c r="AC47" s="7"/>
      <c r="AD47" s="7"/>
      <c r="AE47" s="7"/>
      <c r="AF47" s="7"/>
      <c r="AG47" s="7">
        <v>17979</v>
      </c>
      <c r="AH47" s="7"/>
      <c r="AI47" s="7"/>
      <c r="AJ47" s="7"/>
      <c r="AK47" s="7"/>
      <c r="AL47" s="7"/>
      <c r="AM47" s="7"/>
      <c r="AN47" s="7"/>
      <c r="AO47" s="7"/>
      <c r="AP47" s="7"/>
      <c r="AQ47" s="7"/>
      <c r="AR47" s="7"/>
      <c r="AS47" s="7"/>
      <c r="AT47" s="7">
        <v>0</v>
      </c>
      <c r="AU47" s="7">
        <v>0</v>
      </c>
      <c r="AV47" s="7">
        <v>0</v>
      </c>
      <c r="AW47" s="7">
        <v>0</v>
      </c>
      <c r="AX47" s="7">
        <v>0</v>
      </c>
      <c r="BG47" s="8">
        <v>42445</v>
      </c>
      <c r="BH47" s="5">
        <v>3</v>
      </c>
      <c r="BI47" s="5">
        <v>118</v>
      </c>
      <c r="BJ47" s="5">
        <v>0</v>
      </c>
      <c r="BK47" s="5">
        <f>Tableau1[[#This Row],[Base de financement]]-Tableau1[[#This Row],[Subvention ANRU]]-Tableau1[[#This Row],[Ville]]-Tableau1[[#This Row],[Plaine Commune]]-Tableau1[[#This Row],[Bailleurs]]-Tableau1[[#This Row],[CDC]]-Tableau1[[#This Row],[CD93]]-Tableau1[[#This Row],[CRIF]]-Tableau1[[#This Row],[Europe]]-Tableau1[[#This Row],[Autres]]</f>
        <v>0</v>
      </c>
      <c r="BL47" s="412">
        <f>S47-T47-V47-W47-Y47-Z47-AA47-AB47-AC47-AD47-AE47-AF47-AG47-AH47-AI47-AJ47-AK47-AL47-AM47-AN47-AO47-AP47-AQ47-AR47-AS47-AT47-AU47-AV47-AW47-AY47-BE47-BF47-Tableau1[[#This Row],[Ville de Pantin ]]-Tableau1[[#This Row],[Est-Ensemble ]]-Tableau1[[#This Row],[ASGO]]</f>
        <v>0</v>
      </c>
    </row>
    <row r="48" spans="1:64" ht="20.100000000000001" hidden="1" customHeight="1" x14ac:dyDescent="0.25">
      <c r="A48" s="5" t="s">
        <v>163</v>
      </c>
      <c r="B48" s="5" t="s">
        <v>389</v>
      </c>
      <c r="C48" s="14" t="s">
        <v>1208</v>
      </c>
      <c r="D48" s="5" t="s">
        <v>165</v>
      </c>
      <c r="F48" s="5" t="s">
        <v>37</v>
      </c>
      <c r="H48" s="404" t="s">
        <v>390</v>
      </c>
      <c r="J48" s="5" t="s">
        <v>40</v>
      </c>
      <c r="K48" s="5" t="s">
        <v>41</v>
      </c>
      <c r="L48" s="5" t="s">
        <v>167</v>
      </c>
      <c r="O48" s="5" t="s">
        <v>42</v>
      </c>
      <c r="P48" s="5" t="s">
        <v>391</v>
      </c>
      <c r="Q48" s="227">
        <v>60000</v>
      </c>
      <c r="R48" s="7">
        <v>72000</v>
      </c>
      <c r="S48" s="7">
        <v>60000</v>
      </c>
      <c r="T48" s="7">
        <v>30000</v>
      </c>
      <c r="U48" s="7"/>
      <c r="V48" s="7">
        <v>30000</v>
      </c>
      <c r="W48" s="7">
        <v>0</v>
      </c>
      <c r="X48" s="7">
        <v>0</v>
      </c>
      <c r="Y48" s="7"/>
      <c r="Z48" s="7"/>
      <c r="AA48" s="7"/>
      <c r="AB48" s="7"/>
      <c r="AC48" s="7"/>
      <c r="AD48" s="7"/>
      <c r="AE48" s="7"/>
      <c r="AF48" s="7"/>
      <c r="AG48" s="7"/>
      <c r="AH48" s="7"/>
      <c r="AI48" s="7"/>
      <c r="AJ48" s="7"/>
      <c r="AK48" s="7"/>
      <c r="AL48" s="7"/>
      <c r="AM48" s="7"/>
      <c r="AN48" s="7"/>
      <c r="AO48" s="7"/>
      <c r="AP48" s="7"/>
      <c r="AQ48" s="7"/>
      <c r="AR48" s="7"/>
      <c r="AS48" s="7"/>
      <c r="AT48" s="7">
        <v>0</v>
      </c>
      <c r="AU48" s="7">
        <v>0</v>
      </c>
      <c r="AV48" s="7">
        <v>0</v>
      </c>
      <c r="AW48" s="7">
        <v>0</v>
      </c>
      <c r="AX48" s="7">
        <v>0</v>
      </c>
      <c r="BG48" s="8">
        <v>42552</v>
      </c>
      <c r="BH48" s="5">
        <v>12</v>
      </c>
      <c r="BI48" s="5">
        <v>0</v>
      </c>
      <c r="BJ48" s="5">
        <v>0</v>
      </c>
      <c r="BK48" s="5">
        <f>Tableau1[[#This Row],[Base de financement]]-Tableau1[[#This Row],[Subvention ANRU]]-Tableau1[[#This Row],[Ville]]-Tableau1[[#This Row],[Plaine Commune]]-Tableau1[[#This Row],[Bailleurs]]-Tableau1[[#This Row],[CDC]]-Tableau1[[#This Row],[CD93]]-Tableau1[[#This Row],[CRIF]]-Tableau1[[#This Row],[Europe]]-Tableau1[[#This Row],[Autres]]</f>
        <v>0</v>
      </c>
      <c r="BL48" s="412">
        <f>S48-T48-V48-W48-Y48-Z48-AA48-AB48-AC48-AD48-AE48-AF48-AG48-AH48-AI48-AJ48-AK48-AL48-AM48-AN48-AO48-AP48-AQ48-AR48-AS48-AT48-AU48-AV48-AW48-AY48-BE48-BF48-Tableau1[[#This Row],[Ville de Pantin ]]-Tableau1[[#This Row],[Est-Ensemble ]]-Tableau1[[#This Row],[ASGO]]</f>
        <v>0</v>
      </c>
    </row>
    <row r="49" spans="1:64" ht="20.100000000000001" hidden="1" customHeight="1" x14ac:dyDescent="0.25">
      <c r="A49" s="5" t="s">
        <v>163</v>
      </c>
      <c r="B49" s="5" t="s">
        <v>164</v>
      </c>
      <c r="C49" s="14" t="s">
        <v>1209</v>
      </c>
      <c r="D49" s="5" t="s">
        <v>165</v>
      </c>
      <c r="F49" s="5" t="s">
        <v>37</v>
      </c>
      <c r="H49" s="404" t="s">
        <v>166</v>
      </c>
      <c r="J49" s="5" t="s">
        <v>68</v>
      </c>
      <c r="K49" s="5" t="s">
        <v>69</v>
      </c>
      <c r="L49" s="5" t="s">
        <v>167</v>
      </c>
      <c r="O49" s="5" t="s">
        <v>42</v>
      </c>
      <c r="P49" s="5" t="s">
        <v>168</v>
      </c>
      <c r="Q49" s="227">
        <v>55000</v>
      </c>
      <c r="R49" s="7">
        <v>66000</v>
      </c>
      <c r="S49" s="7">
        <v>55000</v>
      </c>
      <c r="T49" s="7">
        <v>27500</v>
      </c>
      <c r="U49" s="7"/>
      <c r="V49" s="7">
        <v>27500</v>
      </c>
      <c r="W49" s="7">
        <v>0</v>
      </c>
      <c r="X49" s="7">
        <v>0</v>
      </c>
      <c r="Y49" s="7"/>
      <c r="Z49" s="7"/>
      <c r="AA49" s="7"/>
      <c r="AB49" s="7"/>
      <c r="AC49" s="7"/>
      <c r="AD49" s="7"/>
      <c r="AE49" s="7"/>
      <c r="AF49" s="7"/>
      <c r="AG49" s="7"/>
      <c r="AH49" s="7"/>
      <c r="AI49" s="7"/>
      <c r="AJ49" s="7"/>
      <c r="AK49" s="7"/>
      <c r="AL49" s="7"/>
      <c r="AM49" s="7"/>
      <c r="AN49" s="7"/>
      <c r="AO49" s="7"/>
      <c r="AP49" s="7"/>
      <c r="AQ49" s="7">
        <f>Tableau1[[#This Row],[Bailleurs]]</f>
        <v>0</v>
      </c>
      <c r="AR49" s="7"/>
      <c r="AS49" s="7"/>
      <c r="AT49" s="7">
        <v>0</v>
      </c>
      <c r="AU49" s="7">
        <v>0</v>
      </c>
      <c r="AV49" s="7">
        <v>0</v>
      </c>
      <c r="AW49" s="7">
        <v>0</v>
      </c>
      <c r="AX49" s="7">
        <v>0</v>
      </c>
      <c r="BI49" s="5">
        <v>0</v>
      </c>
      <c r="BJ49" s="5">
        <v>0</v>
      </c>
      <c r="BK49" s="5">
        <f>Tableau1[[#This Row],[Base de financement]]-Tableau1[[#This Row],[Subvention ANRU]]-Tableau1[[#This Row],[Ville]]-Tableau1[[#This Row],[Plaine Commune]]-Tableau1[[#This Row],[Bailleurs]]-Tableau1[[#This Row],[CDC]]-Tableau1[[#This Row],[CD93]]-Tableau1[[#This Row],[CRIF]]-Tableau1[[#This Row],[Europe]]-Tableau1[[#This Row],[Autres]]</f>
        <v>0</v>
      </c>
      <c r="BL49" s="412">
        <f>S49-T49-V49-W49-Y49-Z49-AA49-AB49-AC49-AD49-AE49-AF49-AG49-AH49-AI49-AJ49-AK49-AL49-AM49-AN49-AO49-AP49-AQ49-AR49-AS49-AT49-AU49-AV49-AW49-AY49-BE49-BF49-Tableau1[[#This Row],[Ville de Pantin ]]-Tableau1[[#This Row],[Est-Ensemble ]]-Tableau1[[#This Row],[ASGO]]</f>
        <v>0</v>
      </c>
    </row>
    <row r="50" spans="1:64" ht="20.100000000000001" hidden="1" customHeight="1" x14ac:dyDescent="0.25">
      <c r="A50" s="5" t="s">
        <v>163</v>
      </c>
      <c r="B50" s="5" t="s">
        <v>169</v>
      </c>
      <c r="C50" s="14" t="s">
        <v>1210</v>
      </c>
      <c r="D50" s="5" t="s">
        <v>165</v>
      </c>
      <c r="F50" s="5" t="s">
        <v>37</v>
      </c>
      <c r="G50" s="5" t="s">
        <v>1380</v>
      </c>
      <c r="H50" s="404" t="s">
        <v>170</v>
      </c>
      <c r="J50" s="5" t="s">
        <v>40</v>
      </c>
      <c r="K50" s="5" t="s">
        <v>47</v>
      </c>
      <c r="L50" s="5" t="s">
        <v>167</v>
      </c>
      <c r="O50" s="5" t="s">
        <v>42</v>
      </c>
      <c r="P50" s="5" t="s">
        <v>171</v>
      </c>
      <c r="Q50" s="227">
        <v>60000</v>
      </c>
      <c r="R50" s="7">
        <v>72000</v>
      </c>
      <c r="S50" s="7">
        <v>60000</v>
      </c>
      <c r="T50" s="7">
        <v>30000</v>
      </c>
      <c r="U50" s="7"/>
      <c r="V50" s="7">
        <v>30000</v>
      </c>
      <c r="W50" s="7">
        <v>0</v>
      </c>
      <c r="X50" s="7">
        <v>0</v>
      </c>
      <c r="Y50" s="7"/>
      <c r="Z50" s="7"/>
      <c r="AA50" s="7"/>
      <c r="AB50" s="7"/>
      <c r="AC50" s="7"/>
      <c r="AD50" s="7"/>
      <c r="AE50" s="7"/>
      <c r="AF50" s="7"/>
      <c r="AG50" s="7"/>
      <c r="AH50" s="7"/>
      <c r="AI50" s="7"/>
      <c r="AJ50" s="7"/>
      <c r="AK50" s="7"/>
      <c r="AL50" s="7"/>
      <c r="AM50" s="7"/>
      <c r="AN50" s="7"/>
      <c r="AO50" s="7"/>
      <c r="AP50" s="7"/>
      <c r="AQ50" s="7">
        <f>Tableau1[[#This Row],[Bailleurs]]</f>
        <v>0</v>
      </c>
      <c r="AR50" s="7"/>
      <c r="AS50" s="7"/>
      <c r="AT50" s="7">
        <v>0</v>
      </c>
      <c r="AU50" s="7">
        <v>0</v>
      </c>
      <c r="AV50" s="7">
        <v>0</v>
      </c>
      <c r="AW50" s="7">
        <v>0</v>
      </c>
      <c r="AX50" s="7">
        <v>0</v>
      </c>
      <c r="BG50" s="8">
        <v>42644</v>
      </c>
      <c r="BH50" s="5">
        <v>12</v>
      </c>
      <c r="BI50" s="5">
        <v>0</v>
      </c>
      <c r="BJ50" s="5">
        <v>0</v>
      </c>
      <c r="BK50" s="5">
        <f>Tableau1[[#This Row],[Base de financement]]-Tableau1[[#This Row],[Subvention ANRU]]-Tableau1[[#This Row],[Ville]]-Tableau1[[#This Row],[Plaine Commune]]-Tableau1[[#This Row],[Bailleurs]]-Tableau1[[#This Row],[CDC]]-Tableau1[[#This Row],[CD93]]-Tableau1[[#This Row],[CRIF]]-Tableau1[[#This Row],[Europe]]-Tableau1[[#This Row],[Autres]]</f>
        <v>0</v>
      </c>
      <c r="BL50" s="412">
        <f>S50-T50-V50-W50-Y50-Z50-AA50-AB50-AC50-AD50-AE50-AF50-AG50-AH50-AI50-AJ50-AK50-AL50-AM50-AN50-AO50-AP50-AQ50-AR50-AS50-AT50-AU50-AV50-AW50-AY50-BE50-BF50-Tableau1[[#This Row],[Ville de Pantin ]]-Tableau1[[#This Row],[Est-Ensemble ]]-Tableau1[[#This Row],[ASGO]]</f>
        <v>0</v>
      </c>
    </row>
    <row r="51" spans="1:64" ht="20.100000000000001" hidden="1" customHeight="1" x14ac:dyDescent="0.25">
      <c r="A51" s="5" t="s">
        <v>163</v>
      </c>
      <c r="B51" s="5" t="s">
        <v>178</v>
      </c>
      <c r="C51" s="14" t="s">
        <v>1210</v>
      </c>
      <c r="D51" s="5" t="s">
        <v>165</v>
      </c>
      <c r="F51" s="5" t="s">
        <v>37</v>
      </c>
      <c r="G51" s="5" t="s">
        <v>1380</v>
      </c>
      <c r="H51" s="404" t="s">
        <v>1377</v>
      </c>
      <c r="J51" s="5" t="s">
        <v>40</v>
      </c>
      <c r="K51" s="5" t="s">
        <v>47</v>
      </c>
      <c r="L51" s="5" t="s">
        <v>167</v>
      </c>
      <c r="O51" s="5" t="s">
        <v>42</v>
      </c>
      <c r="P51" s="5" t="s">
        <v>179</v>
      </c>
      <c r="Q51" s="227">
        <v>50000</v>
      </c>
      <c r="R51" s="7">
        <v>60000</v>
      </c>
      <c r="S51" s="7">
        <v>50000</v>
      </c>
      <c r="T51" s="7">
        <v>25000</v>
      </c>
      <c r="U51" s="7"/>
      <c r="V51" s="7">
        <v>25000</v>
      </c>
      <c r="W51" s="7">
        <v>0</v>
      </c>
      <c r="X51" s="7">
        <v>0</v>
      </c>
      <c r="Y51" s="7"/>
      <c r="Z51" s="7"/>
      <c r="AA51" s="7"/>
      <c r="AB51" s="7"/>
      <c r="AC51" s="7"/>
      <c r="AD51" s="7"/>
      <c r="AE51" s="7"/>
      <c r="AF51" s="7"/>
      <c r="AG51" s="7"/>
      <c r="AH51" s="7"/>
      <c r="AI51" s="7"/>
      <c r="AJ51" s="7"/>
      <c r="AK51" s="7"/>
      <c r="AL51" s="7"/>
      <c r="AM51" s="7"/>
      <c r="AN51" s="7"/>
      <c r="AO51" s="7"/>
      <c r="AP51" s="7"/>
      <c r="AQ51" s="7">
        <f>Tableau1[[#This Row],[Bailleurs]]</f>
        <v>0</v>
      </c>
      <c r="AR51" s="7"/>
      <c r="AS51" s="7"/>
      <c r="AT51" s="7">
        <v>0</v>
      </c>
      <c r="AU51" s="7">
        <v>0</v>
      </c>
      <c r="AV51" s="7">
        <v>0</v>
      </c>
      <c r="AW51" s="7">
        <v>0</v>
      </c>
      <c r="AX51" s="7">
        <v>0</v>
      </c>
      <c r="BG51" s="8">
        <v>42644</v>
      </c>
      <c r="BH51" s="5">
        <v>12</v>
      </c>
      <c r="BI51" s="5">
        <v>0</v>
      </c>
      <c r="BJ51" s="5">
        <v>0</v>
      </c>
      <c r="BK51" s="5">
        <f>Tableau1[[#This Row],[Base de financement]]-Tableau1[[#This Row],[Subvention ANRU]]-Tableau1[[#This Row],[Ville]]-Tableau1[[#This Row],[Plaine Commune]]-Tableau1[[#This Row],[Bailleurs]]-Tableau1[[#This Row],[CDC]]-Tableau1[[#This Row],[CD93]]-Tableau1[[#This Row],[CRIF]]-Tableau1[[#This Row],[Europe]]-Tableau1[[#This Row],[Autres]]</f>
        <v>0</v>
      </c>
      <c r="BL51" s="412">
        <f>S51-T51-V51-W51-Y51-Z51-AA51-AB51-AC51-AD51-AE51-AF51-AG51-AH51-AI51-AJ51-AK51-AL51-AM51-AN51-AO51-AP51-AQ51-AR51-AS51-AT51-AU51-AV51-AW51-AY51-BE51-BF51-Tableau1[[#This Row],[Ville de Pantin ]]-Tableau1[[#This Row],[Est-Ensemble ]]-Tableau1[[#This Row],[ASGO]]</f>
        <v>0</v>
      </c>
    </row>
    <row r="52" spans="1:64" ht="20.100000000000001" hidden="1" customHeight="1" x14ac:dyDescent="0.25">
      <c r="A52" s="5" t="s">
        <v>163</v>
      </c>
      <c r="B52" s="5" t="s">
        <v>172</v>
      </c>
      <c r="C52" s="14" t="s">
        <v>1211</v>
      </c>
      <c r="D52" s="5" t="s">
        <v>165</v>
      </c>
      <c r="F52" s="5" t="s">
        <v>37</v>
      </c>
      <c r="G52" s="5" t="s">
        <v>1379</v>
      </c>
      <c r="H52" s="404" t="s">
        <v>173</v>
      </c>
      <c r="J52" s="5" t="s">
        <v>53</v>
      </c>
      <c r="K52" s="5" t="s">
        <v>47</v>
      </c>
      <c r="L52" s="5" t="s">
        <v>167</v>
      </c>
      <c r="O52" s="5" t="s">
        <v>42</v>
      </c>
      <c r="P52" s="5" t="s">
        <v>174</v>
      </c>
      <c r="Q52" s="227">
        <v>35000</v>
      </c>
      <c r="R52" s="7">
        <v>42000</v>
      </c>
      <c r="S52" s="7">
        <v>35000</v>
      </c>
      <c r="T52" s="7">
        <v>17500</v>
      </c>
      <c r="U52" s="7"/>
      <c r="V52" s="7">
        <v>17500</v>
      </c>
      <c r="W52" s="7">
        <v>0</v>
      </c>
      <c r="X52" s="7">
        <v>0</v>
      </c>
      <c r="Y52" s="7"/>
      <c r="Z52" s="7"/>
      <c r="AA52" s="7"/>
      <c r="AB52" s="7"/>
      <c r="AC52" s="7"/>
      <c r="AD52" s="7"/>
      <c r="AE52" s="7"/>
      <c r="AF52" s="7"/>
      <c r="AG52" s="7"/>
      <c r="AH52" s="7"/>
      <c r="AI52" s="7"/>
      <c r="AJ52" s="7"/>
      <c r="AK52" s="7"/>
      <c r="AL52" s="7"/>
      <c r="AM52" s="7"/>
      <c r="AN52" s="7"/>
      <c r="AO52" s="7"/>
      <c r="AP52" s="7"/>
      <c r="AQ52" s="7">
        <f>Tableau1[[#This Row],[Bailleurs]]</f>
        <v>0</v>
      </c>
      <c r="AR52" s="7"/>
      <c r="AS52" s="7"/>
      <c r="AT52" s="7">
        <v>0</v>
      </c>
      <c r="AU52" s="7">
        <v>0</v>
      </c>
      <c r="AV52" s="7">
        <v>0</v>
      </c>
      <c r="AW52" s="7">
        <v>0</v>
      </c>
      <c r="AX52" s="7">
        <v>0</v>
      </c>
      <c r="BG52" s="8">
        <v>42644</v>
      </c>
      <c r="BH52" s="5">
        <v>8</v>
      </c>
      <c r="BI52" s="5">
        <v>0</v>
      </c>
      <c r="BJ52" s="5">
        <v>0</v>
      </c>
      <c r="BK52" s="5">
        <f>Tableau1[[#This Row],[Base de financement]]-Tableau1[[#This Row],[Subvention ANRU]]-Tableau1[[#This Row],[Ville]]-Tableau1[[#This Row],[Plaine Commune]]-Tableau1[[#This Row],[Bailleurs]]-Tableau1[[#This Row],[CDC]]-Tableau1[[#This Row],[CD93]]-Tableau1[[#This Row],[CRIF]]-Tableau1[[#This Row],[Europe]]-Tableau1[[#This Row],[Autres]]</f>
        <v>0</v>
      </c>
      <c r="BL52" s="412">
        <f>S52-T52-V52-W52-Y52-Z52-AA52-AB52-AC52-AD52-AE52-AF52-AG52-AH52-AI52-AJ52-AK52-AL52-AM52-AN52-AO52-AP52-AQ52-AR52-AS52-AT52-AU52-AV52-AW52-AY52-BE52-BF52-Tableau1[[#This Row],[Ville de Pantin ]]-Tableau1[[#This Row],[Est-Ensemble ]]-Tableau1[[#This Row],[ASGO]]</f>
        <v>0</v>
      </c>
    </row>
    <row r="53" spans="1:64" ht="20.100000000000001" hidden="1" customHeight="1" x14ac:dyDescent="0.25">
      <c r="A53" s="5" t="s">
        <v>163</v>
      </c>
      <c r="B53" s="5" t="s">
        <v>175</v>
      </c>
      <c r="C53" s="14" t="s">
        <v>1211</v>
      </c>
      <c r="D53" s="5" t="s">
        <v>165</v>
      </c>
      <c r="F53" s="5" t="s">
        <v>37</v>
      </c>
      <c r="G53" s="5" t="s">
        <v>1379</v>
      </c>
      <c r="H53" s="404" t="s">
        <v>176</v>
      </c>
      <c r="J53" s="5" t="s">
        <v>53</v>
      </c>
      <c r="K53" s="5" t="s">
        <v>47</v>
      </c>
      <c r="L53" s="5" t="s">
        <v>167</v>
      </c>
      <c r="O53" s="5" t="s">
        <v>42</v>
      </c>
      <c r="P53" s="5" t="s">
        <v>177</v>
      </c>
      <c r="Q53" s="227">
        <v>35000</v>
      </c>
      <c r="R53" s="7">
        <v>42000</v>
      </c>
      <c r="S53" s="7">
        <v>35000</v>
      </c>
      <c r="T53" s="7">
        <v>17500</v>
      </c>
      <c r="U53" s="7"/>
      <c r="V53" s="7">
        <v>17500</v>
      </c>
      <c r="W53" s="7">
        <v>0</v>
      </c>
      <c r="X53" s="7">
        <v>0</v>
      </c>
      <c r="Y53" s="7"/>
      <c r="Z53" s="7"/>
      <c r="AA53" s="7"/>
      <c r="AB53" s="7"/>
      <c r="AC53" s="7"/>
      <c r="AD53" s="7"/>
      <c r="AE53" s="7"/>
      <c r="AF53" s="7"/>
      <c r="AG53" s="7"/>
      <c r="AH53" s="7"/>
      <c r="AI53" s="7"/>
      <c r="AJ53" s="7"/>
      <c r="AK53" s="7"/>
      <c r="AL53" s="7"/>
      <c r="AM53" s="7"/>
      <c r="AN53" s="7"/>
      <c r="AO53" s="7"/>
      <c r="AP53" s="7"/>
      <c r="AQ53" s="7">
        <f>Tableau1[[#This Row],[Bailleurs]]</f>
        <v>0</v>
      </c>
      <c r="AR53" s="7"/>
      <c r="AS53" s="7"/>
      <c r="AT53" s="7">
        <v>0</v>
      </c>
      <c r="AU53" s="7">
        <v>0</v>
      </c>
      <c r="AV53" s="7">
        <v>0</v>
      </c>
      <c r="AW53" s="7">
        <v>0</v>
      </c>
      <c r="AX53" s="7">
        <v>0</v>
      </c>
      <c r="BG53" s="8">
        <v>42436</v>
      </c>
      <c r="BH53" s="5">
        <v>8</v>
      </c>
      <c r="BI53" s="5">
        <v>0</v>
      </c>
      <c r="BJ53" s="5">
        <v>0</v>
      </c>
      <c r="BK53" s="5">
        <f>Tableau1[[#This Row],[Base de financement]]-Tableau1[[#This Row],[Subvention ANRU]]-Tableau1[[#This Row],[Ville]]-Tableau1[[#This Row],[Plaine Commune]]-Tableau1[[#This Row],[Bailleurs]]-Tableau1[[#This Row],[CDC]]-Tableau1[[#This Row],[CD93]]-Tableau1[[#This Row],[CRIF]]-Tableau1[[#This Row],[Europe]]-Tableau1[[#This Row],[Autres]]</f>
        <v>0</v>
      </c>
      <c r="BL53" s="412">
        <f>S53-T53-V53-W53-Y53-Z53-AA53-AB53-AC53-AD53-AE53-AF53-AG53-AH53-AI53-AJ53-AK53-AL53-AM53-AN53-AO53-AP53-AQ53-AR53-AS53-AT53-AU53-AV53-AW53-AY53-BE53-BF53-Tableau1[[#This Row],[Ville de Pantin ]]-Tableau1[[#This Row],[Est-Ensemble ]]-Tableau1[[#This Row],[ASGO]]</f>
        <v>0</v>
      </c>
    </row>
    <row r="54" spans="1:64" ht="20.100000000000001" hidden="1" customHeight="1" x14ac:dyDescent="0.25">
      <c r="A54" s="5" t="s">
        <v>163</v>
      </c>
      <c r="B54" s="5" t="s">
        <v>723</v>
      </c>
      <c r="C54" s="14" t="s">
        <v>1212</v>
      </c>
      <c r="D54" s="5" t="s">
        <v>165</v>
      </c>
      <c r="E54" s="5" t="s">
        <v>456</v>
      </c>
      <c r="G54" s="5" t="s">
        <v>1381</v>
      </c>
      <c r="H54" s="404" t="s">
        <v>724</v>
      </c>
      <c r="I54" s="5" t="s">
        <v>458</v>
      </c>
      <c r="J54" s="5" t="s">
        <v>68</v>
      </c>
      <c r="K54" s="5" t="s">
        <v>69</v>
      </c>
      <c r="L54" s="5" t="s">
        <v>456</v>
      </c>
      <c r="O54" s="5" t="s">
        <v>42</v>
      </c>
      <c r="P54" s="5" t="s">
        <v>459</v>
      </c>
      <c r="Q54" s="227">
        <v>4984</v>
      </c>
      <c r="R54" s="7">
        <v>5981</v>
      </c>
      <c r="S54" s="7">
        <v>4984</v>
      </c>
      <c r="T54" s="7">
        <v>2492</v>
      </c>
      <c r="U54" s="7"/>
      <c r="V54" s="7">
        <v>0</v>
      </c>
      <c r="W54" s="7">
        <v>0</v>
      </c>
      <c r="X54" s="7">
        <v>2492</v>
      </c>
      <c r="Y54" s="7"/>
      <c r="Z54" s="7"/>
      <c r="AA54" s="7"/>
      <c r="AB54" s="7"/>
      <c r="AC54" s="7"/>
      <c r="AD54" s="7"/>
      <c r="AE54" s="7"/>
      <c r="AF54" s="7"/>
      <c r="AG54" s="7"/>
      <c r="AH54" s="7">
        <v>2492</v>
      </c>
      <c r="AI54" s="7"/>
      <c r="AJ54" s="7"/>
      <c r="AK54" s="7"/>
      <c r="AL54" s="7"/>
      <c r="AM54" s="7"/>
      <c r="AN54" s="7"/>
      <c r="AO54" s="7"/>
      <c r="AP54" s="7"/>
      <c r="AQ54" s="7"/>
      <c r="AR54" s="7"/>
      <c r="AS54" s="7"/>
      <c r="AT54" s="7">
        <v>0</v>
      </c>
      <c r="AU54" s="7">
        <v>0</v>
      </c>
      <c r="AV54" s="7">
        <v>0</v>
      </c>
      <c r="AW54" s="7">
        <v>0</v>
      </c>
      <c r="AX54" s="7">
        <v>0</v>
      </c>
      <c r="BG54" s="8">
        <v>42430</v>
      </c>
      <c r="BH54" s="5">
        <v>6</v>
      </c>
      <c r="BI54" s="5">
        <v>0</v>
      </c>
      <c r="BJ54" s="5">
        <v>0</v>
      </c>
      <c r="BK54" s="5">
        <f>Tableau1[[#This Row],[Base de financement]]-Tableau1[[#This Row],[Subvention ANRU]]-Tableau1[[#This Row],[Ville]]-Tableau1[[#This Row],[Plaine Commune]]-Tableau1[[#This Row],[Bailleurs]]-Tableau1[[#This Row],[CDC]]-Tableau1[[#This Row],[CD93]]-Tableau1[[#This Row],[CRIF]]-Tableau1[[#This Row],[Europe]]-Tableau1[[#This Row],[Autres]]</f>
        <v>0</v>
      </c>
      <c r="BL54" s="412">
        <f>S54-T54-V54-W54-Y54-Z54-AA54-AB54-AC54-AD54-AE54-AF54-AG54-AH54-AI54-AJ54-AK54-AL54-AM54-AN54-AO54-AP54-AQ54-AR54-AS54-AT54-AU54-AV54-AW54-AY54-BE54-BF54-Tableau1[[#This Row],[Ville de Pantin ]]-Tableau1[[#This Row],[Est-Ensemble ]]-Tableau1[[#This Row],[ASGO]]</f>
        <v>0</v>
      </c>
    </row>
    <row r="55" spans="1:64" ht="20.100000000000001" hidden="1" customHeight="1" x14ac:dyDescent="0.25">
      <c r="A55" s="5" t="s">
        <v>163</v>
      </c>
      <c r="B55" s="5" t="s">
        <v>460</v>
      </c>
      <c r="C55" s="14" t="s">
        <v>1212</v>
      </c>
      <c r="D55" s="5" t="s">
        <v>165</v>
      </c>
      <c r="E55" s="5" t="s">
        <v>456</v>
      </c>
      <c r="G55" s="5" t="s">
        <v>1381</v>
      </c>
      <c r="H55" s="404" t="s">
        <v>461</v>
      </c>
      <c r="I55" s="5" t="s">
        <v>458</v>
      </c>
      <c r="J55" s="5" t="s">
        <v>68</v>
      </c>
      <c r="K55" s="5" t="s">
        <v>69</v>
      </c>
      <c r="L55" s="5" t="s">
        <v>456</v>
      </c>
      <c r="O55" s="5" t="s">
        <v>42</v>
      </c>
      <c r="P55" s="5" t="s">
        <v>459</v>
      </c>
      <c r="Q55" s="227">
        <v>42660</v>
      </c>
      <c r="R55" s="7">
        <v>51192</v>
      </c>
      <c r="S55" s="7">
        <v>42660</v>
      </c>
      <c r="T55" s="7">
        <v>21330</v>
      </c>
      <c r="U55" s="7"/>
      <c r="V55" s="7">
        <v>0</v>
      </c>
      <c r="W55" s="7">
        <v>0</v>
      </c>
      <c r="X55" s="7">
        <v>21330</v>
      </c>
      <c r="Y55" s="7"/>
      <c r="Z55" s="7"/>
      <c r="AA55" s="7"/>
      <c r="AB55" s="7"/>
      <c r="AC55" s="7"/>
      <c r="AD55" s="7"/>
      <c r="AE55" s="7"/>
      <c r="AF55" s="7"/>
      <c r="AG55" s="7"/>
      <c r="AH55" s="7">
        <v>21330</v>
      </c>
      <c r="AI55" s="7"/>
      <c r="AJ55" s="7"/>
      <c r="AK55" s="7"/>
      <c r="AL55" s="7"/>
      <c r="AM55" s="7"/>
      <c r="AN55" s="7"/>
      <c r="AO55" s="7"/>
      <c r="AP55" s="7"/>
      <c r="AQ55" s="7"/>
      <c r="AR55" s="7"/>
      <c r="AS55" s="7"/>
      <c r="AT55" s="7">
        <v>0</v>
      </c>
      <c r="AU55" s="7">
        <v>0</v>
      </c>
      <c r="AV55" s="7">
        <v>0</v>
      </c>
      <c r="AW55" s="7">
        <v>0</v>
      </c>
      <c r="AX55" s="7">
        <v>0</v>
      </c>
      <c r="BG55" s="8">
        <v>42430</v>
      </c>
      <c r="BH55" s="5">
        <v>6</v>
      </c>
      <c r="BI55" s="5">
        <v>444</v>
      </c>
      <c r="BJ55" s="5">
        <v>0</v>
      </c>
      <c r="BK55" s="5">
        <f>Tableau1[[#This Row],[Base de financement]]-Tableau1[[#This Row],[Subvention ANRU]]-Tableau1[[#This Row],[Ville]]-Tableau1[[#This Row],[Plaine Commune]]-Tableau1[[#This Row],[Bailleurs]]-Tableau1[[#This Row],[CDC]]-Tableau1[[#This Row],[CD93]]-Tableau1[[#This Row],[CRIF]]-Tableau1[[#This Row],[Europe]]-Tableau1[[#This Row],[Autres]]</f>
        <v>0</v>
      </c>
      <c r="BL55" s="412">
        <f>S55-T55-V55-W55-Y55-Z55-AA55-AB55-AC55-AD55-AE55-AF55-AG55-AH55-AI55-AJ55-AK55-AL55-AM55-AN55-AO55-AP55-AQ55-AR55-AS55-AT55-AU55-AV55-AW55-AY55-BE55-BF55-Tableau1[[#This Row],[Ville de Pantin ]]-Tableau1[[#This Row],[Est-Ensemble ]]-Tableau1[[#This Row],[ASGO]]</f>
        <v>0</v>
      </c>
    </row>
    <row r="56" spans="1:64" ht="20.100000000000001" hidden="1" customHeight="1" x14ac:dyDescent="0.25">
      <c r="A56" s="5" t="s">
        <v>163</v>
      </c>
      <c r="B56" s="5" t="s">
        <v>718</v>
      </c>
      <c r="C56" s="14" t="s">
        <v>1213</v>
      </c>
      <c r="D56" s="5" t="s">
        <v>165</v>
      </c>
      <c r="E56" s="5" t="s">
        <v>456</v>
      </c>
      <c r="G56" s="5" t="s">
        <v>1382</v>
      </c>
      <c r="H56" s="404" t="s">
        <v>719</v>
      </c>
      <c r="I56" s="5" t="s">
        <v>720</v>
      </c>
      <c r="J56" s="5" t="s">
        <v>68</v>
      </c>
      <c r="K56" s="5" t="s">
        <v>69</v>
      </c>
      <c r="L56" s="5" t="s">
        <v>456</v>
      </c>
      <c r="O56" s="5" t="s">
        <v>42</v>
      </c>
      <c r="P56" s="5" t="s">
        <v>376</v>
      </c>
      <c r="Q56" s="227">
        <v>21043</v>
      </c>
      <c r="R56" s="7">
        <v>25252</v>
      </c>
      <c r="S56" s="7">
        <v>21043</v>
      </c>
      <c r="T56" s="7">
        <v>10522</v>
      </c>
      <c r="U56" s="7"/>
      <c r="V56" s="7">
        <v>0</v>
      </c>
      <c r="W56" s="7">
        <v>0</v>
      </c>
      <c r="X56" s="7">
        <v>10522</v>
      </c>
      <c r="Y56" s="7"/>
      <c r="Z56" s="7"/>
      <c r="AA56" s="7"/>
      <c r="AB56" s="7"/>
      <c r="AC56" s="7"/>
      <c r="AD56" s="7"/>
      <c r="AE56" s="7"/>
      <c r="AF56" s="7"/>
      <c r="AG56" s="7"/>
      <c r="AH56" s="7">
        <v>10522</v>
      </c>
      <c r="AI56" s="7"/>
      <c r="AJ56" s="7"/>
      <c r="AK56" s="7"/>
      <c r="AL56" s="7"/>
      <c r="AM56" s="7"/>
      <c r="AN56" s="7"/>
      <c r="AO56" s="7"/>
      <c r="AP56" s="7"/>
      <c r="AQ56" s="7"/>
      <c r="AR56" s="7"/>
      <c r="AS56" s="7"/>
      <c r="AT56" s="7">
        <v>0</v>
      </c>
      <c r="AU56" s="7">
        <v>0</v>
      </c>
      <c r="AV56" s="7">
        <v>0</v>
      </c>
      <c r="AW56" s="7">
        <v>0</v>
      </c>
      <c r="AX56" s="7">
        <v>0</v>
      </c>
      <c r="BG56" s="8">
        <v>42461</v>
      </c>
      <c r="BH56" s="5">
        <v>3</v>
      </c>
      <c r="BI56" s="5">
        <v>361</v>
      </c>
      <c r="BJ56" s="5">
        <v>0</v>
      </c>
      <c r="BK56" s="5">
        <f>Tableau1[[#This Row],[Base de financement]]-Tableau1[[#This Row],[Subvention ANRU]]-Tableau1[[#This Row],[Ville]]-Tableau1[[#This Row],[Plaine Commune]]-Tableau1[[#This Row],[Bailleurs]]-Tableau1[[#This Row],[CDC]]-Tableau1[[#This Row],[CD93]]-Tableau1[[#This Row],[CRIF]]-Tableau1[[#This Row],[Europe]]-Tableau1[[#This Row],[Autres]]</f>
        <v>-1</v>
      </c>
      <c r="BL56" s="412">
        <f>S56-T56-V56-W56-Y56-Z56-AA56-AB56-AC56-AD56-AE56-AF56-AG56-AH56-AI56-AJ56-AK56-AL56-AM56-AN56-AO56-AP56-AQ56-AR56-AS56-AT56-AU56-AV56-AW56-AY56-BE56-BF56-Tableau1[[#This Row],[Ville de Pantin ]]-Tableau1[[#This Row],[Est-Ensemble ]]-Tableau1[[#This Row],[ASGO]]</f>
        <v>-1</v>
      </c>
    </row>
    <row r="57" spans="1:64" ht="20.100000000000001" hidden="1" customHeight="1" x14ac:dyDescent="0.25">
      <c r="A57" s="5" t="s">
        <v>163</v>
      </c>
      <c r="B57" s="5" t="s">
        <v>721</v>
      </c>
      <c r="C57" s="14" t="s">
        <v>1213</v>
      </c>
      <c r="D57" s="5" t="s">
        <v>165</v>
      </c>
      <c r="E57" s="5" t="s">
        <v>456</v>
      </c>
      <c r="G57" s="5" t="s">
        <v>1382</v>
      </c>
      <c r="H57" s="404" t="s">
        <v>722</v>
      </c>
      <c r="I57" s="5" t="s">
        <v>720</v>
      </c>
      <c r="J57" s="5" t="s">
        <v>68</v>
      </c>
      <c r="K57" s="5" t="s">
        <v>69</v>
      </c>
      <c r="L57" s="5" t="s">
        <v>456</v>
      </c>
      <c r="O57" s="5" t="s">
        <v>42</v>
      </c>
      <c r="P57" s="5" t="s">
        <v>376</v>
      </c>
      <c r="Q57" s="227">
        <v>95090</v>
      </c>
      <c r="R57" s="7">
        <v>114108</v>
      </c>
      <c r="S57" s="7">
        <v>95090</v>
      </c>
      <c r="T57" s="7">
        <v>47545</v>
      </c>
      <c r="U57" s="7"/>
      <c r="V57" s="7">
        <v>0</v>
      </c>
      <c r="W57" s="7">
        <v>0</v>
      </c>
      <c r="X57" s="7">
        <v>47545</v>
      </c>
      <c r="Y57" s="7"/>
      <c r="Z57" s="7"/>
      <c r="AA57" s="7"/>
      <c r="AB57" s="7"/>
      <c r="AC57" s="7"/>
      <c r="AD57" s="7"/>
      <c r="AE57" s="7"/>
      <c r="AF57" s="7"/>
      <c r="AG57" s="7"/>
      <c r="AH57" s="7">
        <v>47545</v>
      </c>
      <c r="AI57" s="7"/>
      <c r="AJ57" s="7"/>
      <c r="AK57" s="7"/>
      <c r="AL57" s="7"/>
      <c r="AM57" s="7"/>
      <c r="AN57" s="7"/>
      <c r="AO57" s="7"/>
      <c r="AP57" s="7"/>
      <c r="AQ57" s="7"/>
      <c r="AR57" s="7"/>
      <c r="AS57" s="7"/>
      <c r="AT57" s="7">
        <v>0</v>
      </c>
      <c r="AU57" s="7">
        <v>0</v>
      </c>
      <c r="AV57" s="7">
        <v>0</v>
      </c>
      <c r="AW57" s="7">
        <v>0</v>
      </c>
      <c r="AX57" s="7">
        <v>0</v>
      </c>
      <c r="BG57" s="8">
        <v>42445</v>
      </c>
      <c r="BH57" s="5">
        <v>3</v>
      </c>
      <c r="BI57" s="5">
        <v>361</v>
      </c>
      <c r="BJ57" s="5">
        <v>0</v>
      </c>
      <c r="BK57" s="5">
        <f>Tableau1[[#This Row],[Base de financement]]-Tableau1[[#This Row],[Subvention ANRU]]-Tableau1[[#This Row],[Ville]]-Tableau1[[#This Row],[Plaine Commune]]-Tableau1[[#This Row],[Bailleurs]]-Tableau1[[#This Row],[CDC]]-Tableau1[[#This Row],[CD93]]-Tableau1[[#This Row],[CRIF]]-Tableau1[[#This Row],[Europe]]-Tableau1[[#This Row],[Autres]]</f>
        <v>0</v>
      </c>
      <c r="BL57" s="412">
        <f>S57-T57-V57-W57-Y57-Z57-AA57-AB57-AC57-AD57-AE57-AF57-AG57-AH57-AI57-AJ57-AK57-AL57-AM57-AN57-AO57-AP57-AQ57-AR57-AS57-AT57-AU57-AV57-AW57-AY57-BE57-BF57-Tableau1[[#This Row],[Ville de Pantin ]]-Tableau1[[#This Row],[Est-Ensemble ]]-Tableau1[[#This Row],[ASGO]]</f>
        <v>0</v>
      </c>
    </row>
    <row r="58" spans="1:64" ht="20.100000000000001" hidden="1" customHeight="1" x14ac:dyDescent="0.25">
      <c r="A58" s="5" t="s">
        <v>163</v>
      </c>
      <c r="B58" s="5" t="s">
        <v>234</v>
      </c>
      <c r="C58" s="14" t="s">
        <v>1214</v>
      </c>
      <c r="D58" s="5" t="s">
        <v>165</v>
      </c>
      <c r="F58" s="5" t="s">
        <v>37</v>
      </c>
      <c r="H58" s="404" t="s">
        <v>235</v>
      </c>
      <c r="J58" s="5" t="s">
        <v>40</v>
      </c>
      <c r="K58" s="5" t="s">
        <v>41</v>
      </c>
      <c r="L58" s="5" t="s">
        <v>360</v>
      </c>
      <c r="O58" s="5" t="s">
        <v>42</v>
      </c>
      <c r="P58" s="5" t="s">
        <v>236</v>
      </c>
      <c r="Q58" s="227">
        <v>0</v>
      </c>
      <c r="R58" s="7">
        <v>0</v>
      </c>
      <c r="S58" s="7">
        <v>0</v>
      </c>
      <c r="T58" s="7">
        <v>0</v>
      </c>
      <c r="U58" s="7" t="s">
        <v>237</v>
      </c>
      <c r="V58" s="7">
        <v>0</v>
      </c>
      <c r="W58" s="7">
        <v>0</v>
      </c>
      <c r="X58" s="7">
        <v>0</v>
      </c>
      <c r="Y58" s="7"/>
      <c r="Z58" s="7"/>
      <c r="AA58" s="7"/>
      <c r="AB58" s="7"/>
      <c r="AC58" s="7"/>
      <c r="AD58" s="7"/>
      <c r="AE58" s="7"/>
      <c r="AF58" s="7"/>
      <c r="AG58" s="7"/>
      <c r="AH58" s="7"/>
      <c r="AI58" s="7"/>
      <c r="AJ58" s="7"/>
      <c r="AK58" s="7"/>
      <c r="AL58" s="7"/>
      <c r="AM58" s="7"/>
      <c r="AN58" s="7"/>
      <c r="AO58" s="7"/>
      <c r="AP58" s="7"/>
      <c r="AQ58" s="7">
        <f>Tableau1[[#This Row],[Bailleurs]]</f>
        <v>0</v>
      </c>
      <c r="AR58" s="7"/>
      <c r="AS58" s="7"/>
      <c r="AT58" s="7">
        <v>0</v>
      </c>
      <c r="AU58" s="7">
        <v>0</v>
      </c>
      <c r="AV58" s="7">
        <v>0</v>
      </c>
      <c r="AW58" s="7">
        <v>0</v>
      </c>
      <c r="AX58" s="7">
        <v>0</v>
      </c>
      <c r="BJ58" s="5">
        <v>0</v>
      </c>
      <c r="BK58" s="5">
        <f>Tableau1[[#This Row],[Base de financement]]-Tableau1[[#This Row],[Subvention ANRU]]-Tableau1[[#This Row],[Ville]]-Tableau1[[#This Row],[Plaine Commune]]-Tableau1[[#This Row],[Bailleurs]]-Tableau1[[#This Row],[CDC]]-Tableau1[[#This Row],[CD93]]-Tableau1[[#This Row],[CRIF]]-Tableau1[[#This Row],[Europe]]-Tableau1[[#This Row],[Autres]]</f>
        <v>0</v>
      </c>
      <c r="BL58" s="412">
        <f>S58-T58-V58-W58-Y58-Z58-AA58-AB58-AC58-AD58-AE58-AF58-AG58-AH58-AI58-AJ58-AK58-AL58-AM58-AN58-AO58-AP58-AQ58-AR58-AS58-AT58-AU58-AV58-AW58-AY58-BE58-BF58-Tableau1[[#This Row],[Ville de Pantin ]]-Tableau1[[#This Row],[Est-Ensemble ]]-Tableau1[[#This Row],[ASGO]]</f>
        <v>0</v>
      </c>
    </row>
    <row r="59" spans="1:64" ht="20.100000000000001" hidden="1" customHeight="1" x14ac:dyDescent="0.25">
      <c r="A59" s="194" t="s">
        <v>245</v>
      </c>
      <c r="B59" s="194" t="s">
        <v>995</v>
      </c>
      <c r="C59" s="402" t="s">
        <v>1215</v>
      </c>
      <c r="D59" s="194" t="s">
        <v>996</v>
      </c>
      <c r="E59" s="194" t="s">
        <v>36</v>
      </c>
      <c r="F59" s="194"/>
      <c r="G59" s="194"/>
      <c r="H59" s="461" t="s">
        <v>997</v>
      </c>
      <c r="I59" s="194"/>
      <c r="J59" s="194" t="s">
        <v>68</v>
      </c>
      <c r="K59" s="194"/>
      <c r="L59" s="194" t="s">
        <v>243</v>
      </c>
      <c r="M59" s="194"/>
      <c r="N59" s="194"/>
      <c r="O59" s="194"/>
      <c r="P59" s="194"/>
      <c r="Q59" s="465">
        <v>72500</v>
      </c>
      <c r="R59" s="196">
        <v>87000</v>
      </c>
      <c r="S59" s="196">
        <v>72500</v>
      </c>
      <c r="T59" s="196">
        <v>36250</v>
      </c>
      <c r="U59" s="469" t="s">
        <v>282</v>
      </c>
      <c r="V59" s="196">
        <v>0</v>
      </c>
      <c r="W59" s="465">
        <v>0</v>
      </c>
      <c r="X59" s="196">
        <v>36250</v>
      </c>
      <c r="Y59" s="196"/>
      <c r="Z59" s="196"/>
      <c r="AA59" s="196"/>
      <c r="AB59" s="196"/>
      <c r="AC59" s="196"/>
      <c r="AD59" s="196"/>
      <c r="AE59" s="196"/>
      <c r="AF59" s="196"/>
      <c r="AG59" s="196">
        <v>36250</v>
      </c>
      <c r="AH59" s="196"/>
      <c r="AI59" s="196"/>
      <c r="AJ59" s="196"/>
      <c r="AK59" s="196"/>
      <c r="AL59" s="196"/>
      <c r="AM59" s="196"/>
      <c r="AN59" s="196"/>
      <c r="AO59" s="196"/>
      <c r="AP59" s="196"/>
      <c r="AQ59" s="196"/>
      <c r="AR59" s="196"/>
      <c r="AS59" s="196"/>
      <c r="AT59" s="196">
        <v>0</v>
      </c>
      <c r="AU59" s="196">
        <v>0</v>
      </c>
      <c r="AV59" s="465">
        <v>0</v>
      </c>
      <c r="AW59" s="196">
        <v>0</v>
      </c>
      <c r="AX59" s="196">
        <v>0</v>
      </c>
      <c r="BG59" s="8"/>
      <c r="BJ59" s="5"/>
      <c r="BK59" s="5">
        <f>Tableau1[[#This Row],[Base de financement]]-Tableau1[[#This Row],[Subvention ANRU]]-Tableau1[[#This Row],[Ville]]-Tableau1[[#This Row],[Plaine Commune]]-Tableau1[[#This Row],[Bailleurs]]-Tableau1[[#This Row],[CDC]]-Tableau1[[#This Row],[CD93]]-Tableau1[[#This Row],[CRIF]]-Tableau1[[#This Row],[Europe]]-Tableau1[[#This Row],[Autres]]</f>
        <v>0</v>
      </c>
      <c r="BL59" s="412">
        <f>S59-T59-V59-W59-Y59-Z59-AA59-AB59-AC59-AD59-AE59-AF59-AG59-AH59-AI59-AJ59-AK59-AL59-AM59-AN59-AO59-AP59-AQ59-AR59-AS59-AT59-AU59-AV59-AW59-AY59-BE59-BF59-Tableau1[[#This Row],[Ville de Pantin ]]-Tableau1[[#This Row],[Est-Ensemble ]]-Tableau1[[#This Row],[ASGO]]</f>
        <v>0</v>
      </c>
    </row>
    <row r="60" spans="1:64" ht="20.100000000000001" customHeight="1" x14ac:dyDescent="0.25">
      <c r="A60" s="194" t="s">
        <v>245</v>
      </c>
      <c r="B60" s="194" t="s">
        <v>998</v>
      </c>
      <c r="C60" s="402" t="s">
        <v>1216</v>
      </c>
      <c r="D60" s="194" t="s">
        <v>996</v>
      </c>
      <c r="E60" s="194" t="s">
        <v>36</v>
      </c>
      <c r="F60" s="194"/>
      <c r="G60" s="194"/>
      <c r="H60" s="461" t="s">
        <v>999</v>
      </c>
      <c r="I60" s="194"/>
      <c r="J60" s="194" t="s">
        <v>40</v>
      </c>
      <c r="K60" s="194"/>
      <c r="L60" s="194" t="s">
        <v>22</v>
      </c>
      <c r="M60" s="194"/>
      <c r="N60" s="194"/>
      <c r="O60" s="194"/>
      <c r="P60" s="194"/>
      <c r="Q60" s="465">
        <v>210000</v>
      </c>
      <c r="R60" s="196">
        <v>252000</v>
      </c>
      <c r="S60" s="196">
        <v>210000</v>
      </c>
      <c r="T60" s="196">
        <v>105000</v>
      </c>
      <c r="U60" s="469" t="s">
        <v>282</v>
      </c>
      <c r="V60" s="196">
        <v>0</v>
      </c>
      <c r="W60" s="465">
        <v>105000</v>
      </c>
      <c r="X60" s="196">
        <v>0</v>
      </c>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v>0</v>
      </c>
      <c r="AU60" s="196">
        <v>0</v>
      </c>
      <c r="AV60" s="465">
        <v>0</v>
      </c>
      <c r="AW60" s="196">
        <v>0</v>
      </c>
      <c r="AX60" s="196">
        <v>0</v>
      </c>
      <c r="BG60" s="8"/>
      <c r="BJ60" s="5"/>
      <c r="BK60" s="5">
        <f>Tableau1[[#This Row],[Base de financement]]-Tableau1[[#This Row],[Subvention ANRU]]-Tableau1[[#This Row],[Ville]]-Tableau1[[#This Row],[Plaine Commune]]-Tableau1[[#This Row],[Bailleurs]]-Tableau1[[#This Row],[CDC]]-Tableau1[[#This Row],[CD93]]-Tableau1[[#This Row],[CRIF]]-Tableau1[[#This Row],[Europe]]-Tableau1[[#This Row],[Autres]]</f>
        <v>0</v>
      </c>
      <c r="BL60" s="412">
        <f>S60-T60-V60-W60-Y60-Z60-AA60-AB60-AC60-AD60-AE60-AF60-AG60-AH60-AI60-AJ60-AK60-AL60-AM60-AN60-AO60-AP60-AQ60-AR60-AS60-AT60-AU60-AV60-AW60-AY60-BE60-BF60-Tableau1[[#This Row],[Ville de Pantin ]]-Tableau1[[#This Row],[Est-Ensemble ]]-Tableau1[[#This Row],[ASGO]]</f>
        <v>0</v>
      </c>
    </row>
    <row r="61" spans="1:64" ht="20.100000000000001" hidden="1" customHeight="1" x14ac:dyDescent="0.25">
      <c r="A61" s="194" t="s">
        <v>245</v>
      </c>
      <c r="B61" s="194" t="s">
        <v>1000</v>
      </c>
      <c r="C61" s="402" t="s">
        <v>1346</v>
      </c>
      <c r="D61" s="194" t="s">
        <v>996</v>
      </c>
      <c r="E61" s="194"/>
      <c r="F61" s="194"/>
      <c r="G61" s="194"/>
      <c r="H61" s="461" t="s">
        <v>1001</v>
      </c>
      <c r="I61" s="194"/>
      <c r="J61" s="194" t="s">
        <v>68</v>
      </c>
      <c r="K61" s="194"/>
      <c r="L61" s="194" t="s">
        <v>693</v>
      </c>
      <c r="M61" s="194"/>
      <c r="N61" s="194"/>
      <c r="O61" s="194"/>
      <c r="P61" s="194"/>
      <c r="Q61" s="465">
        <v>51220</v>
      </c>
      <c r="R61" s="196">
        <v>61464</v>
      </c>
      <c r="S61" s="196">
        <v>51220</v>
      </c>
      <c r="T61" s="196">
        <v>25610</v>
      </c>
      <c r="U61" s="469" t="s">
        <v>282</v>
      </c>
      <c r="V61" s="196">
        <v>0</v>
      </c>
      <c r="W61" s="465">
        <v>0</v>
      </c>
      <c r="X61" s="196">
        <v>25610</v>
      </c>
      <c r="Y61" s="196"/>
      <c r="Z61" s="196">
        <v>25610</v>
      </c>
      <c r="AA61" s="196"/>
      <c r="AB61" s="196"/>
      <c r="AC61" s="196"/>
      <c r="AD61" s="196"/>
      <c r="AE61" s="196"/>
      <c r="AF61" s="196"/>
      <c r="AG61" s="196"/>
      <c r="AH61" s="196"/>
      <c r="AI61" s="196"/>
      <c r="AJ61" s="196"/>
      <c r="AK61" s="196"/>
      <c r="AL61" s="196"/>
      <c r="AM61" s="196"/>
      <c r="AN61" s="196"/>
      <c r="AO61" s="196"/>
      <c r="AP61" s="196"/>
      <c r="AQ61" s="196"/>
      <c r="AR61" s="196"/>
      <c r="AS61" s="196"/>
      <c r="AT61" s="196">
        <v>0</v>
      </c>
      <c r="AU61" s="196">
        <v>0</v>
      </c>
      <c r="AV61" s="465">
        <v>0</v>
      </c>
      <c r="AW61" s="196">
        <v>0</v>
      </c>
      <c r="AX61" s="196">
        <v>0</v>
      </c>
      <c r="BG61" s="8"/>
      <c r="BJ61" s="5"/>
      <c r="BK61" s="5">
        <f>Tableau1[[#This Row],[Base de financement]]-Tableau1[[#This Row],[Subvention ANRU]]-Tableau1[[#This Row],[Ville]]-Tableau1[[#This Row],[Plaine Commune]]-Tableau1[[#This Row],[Bailleurs]]-Tableau1[[#This Row],[CDC]]-Tableau1[[#This Row],[CD93]]-Tableau1[[#This Row],[CRIF]]-Tableau1[[#This Row],[Europe]]-Tableau1[[#This Row],[Autres]]</f>
        <v>0</v>
      </c>
      <c r="BL61" s="412">
        <f>S61-T61-V61-W61-Y61-Z61-AA61-AB61-AC61-AD61-AE61-AF61-AG61-AH61-AI61-AJ61-AK61-AL61-AM61-AN61-AO61-AP61-AQ61-AR61-AS61-AT61-AU61-AV61-AW61-AY61-BE61-BF61-Tableau1[[#This Row],[Ville de Pantin ]]-Tableau1[[#This Row],[Est-Ensemble ]]-Tableau1[[#This Row],[ASGO]]</f>
        <v>0</v>
      </c>
    </row>
    <row r="62" spans="1:64" ht="20.100000000000001" hidden="1" customHeight="1" x14ac:dyDescent="0.25">
      <c r="A62" s="194" t="s">
        <v>245</v>
      </c>
      <c r="B62" s="194" t="s">
        <v>1002</v>
      </c>
      <c r="C62" s="402" t="s">
        <v>1217</v>
      </c>
      <c r="D62" s="194" t="s">
        <v>996</v>
      </c>
      <c r="E62" s="194" t="s">
        <v>301</v>
      </c>
      <c r="F62" s="194"/>
      <c r="G62" s="194"/>
      <c r="H62" s="461" t="s">
        <v>1003</v>
      </c>
      <c r="I62" s="194"/>
      <c r="J62" s="194" t="s">
        <v>53</v>
      </c>
      <c r="K62" s="194"/>
      <c r="L62" s="194" t="s">
        <v>301</v>
      </c>
      <c r="M62" s="194"/>
      <c r="N62" s="194"/>
      <c r="O62" s="194"/>
      <c r="P62" s="194"/>
      <c r="Q62" s="465">
        <v>25000</v>
      </c>
      <c r="R62" s="196">
        <v>30000</v>
      </c>
      <c r="S62" s="196">
        <v>25000</v>
      </c>
      <c r="T62" s="196">
        <v>12500</v>
      </c>
      <c r="U62" s="469" t="s">
        <v>1004</v>
      </c>
      <c r="V62" s="196">
        <v>12500</v>
      </c>
      <c r="W62" s="465">
        <v>0</v>
      </c>
      <c r="X62" s="196">
        <v>0</v>
      </c>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v>0</v>
      </c>
      <c r="AU62" s="196">
        <v>0</v>
      </c>
      <c r="AV62" s="465">
        <v>0</v>
      </c>
      <c r="AW62" s="196">
        <v>0</v>
      </c>
      <c r="AX62" s="196">
        <v>0</v>
      </c>
      <c r="BG62" s="8"/>
      <c r="BJ62" s="5"/>
      <c r="BK62" s="5">
        <f>Tableau1[[#This Row],[Base de financement]]-Tableau1[[#This Row],[Subvention ANRU]]-Tableau1[[#This Row],[Ville]]-Tableau1[[#This Row],[Plaine Commune]]-Tableau1[[#This Row],[Bailleurs]]-Tableau1[[#This Row],[CDC]]-Tableau1[[#This Row],[CD93]]-Tableau1[[#This Row],[CRIF]]-Tableau1[[#This Row],[Europe]]-Tableau1[[#This Row],[Autres]]</f>
        <v>0</v>
      </c>
      <c r="BL62" s="412">
        <f>S62-T62-V62-W62-Y62-Z62-AA62-AB62-AC62-AD62-AE62-AF62-AG62-AH62-AI62-AJ62-AK62-AL62-AM62-AN62-AO62-AP62-AQ62-AR62-AS62-AT62-AU62-AV62-AW62-AY62-BE62-BF62-Tableau1[[#This Row],[Ville de Pantin ]]-Tableau1[[#This Row],[Est-Ensemble ]]-Tableau1[[#This Row],[ASGO]]</f>
        <v>0</v>
      </c>
    </row>
    <row r="63" spans="1:64" ht="20.100000000000001" hidden="1" customHeight="1" x14ac:dyDescent="0.25">
      <c r="A63" s="194" t="s">
        <v>245</v>
      </c>
      <c r="B63" s="194" t="s">
        <v>1005</v>
      </c>
      <c r="C63" s="402" t="s">
        <v>1218</v>
      </c>
      <c r="D63" s="194" t="s">
        <v>996</v>
      </c>
      <c r="E63" s="194" t="s">
        <v>301</v>
      </c>
      <c r="F63" s="194"/>
      <c r="G63" s="194"/>
      <c r="H63" s="461" t="s">
        <v>1006</v>
      </c>
      <c r="I63" s="194"/>
      <c r="J63" s="194" t="s">
        <v>53</v>
      </c>
      <c r="K63" s="194"/>
      <c r="L63" s="194" t="s">
        <v>301</v>
      </c>
      <c r="M63" s="194"/>
      <c r="N63" s="194"/>
      <c r="O63" s="194"/>
      <c r="P63" s="194"/>
      <c r="Q63" s="465">
        <v>40000</v>
      </c>
      <c r="R63" s="196">
        <v>48000</v>
      </c>
      <c r="S63" s="196">
        <v>40000</v>
      </c>
      <c r="T63" s="196">
        <v>20000</v>
      </c>
      <c r="U63" s="469" t="s">
        <v>1004</v>
      </c>
      <c r="V63" s="196">
        <v>20000</v>
      </c>
      <c r="W63" s="465">
        <v>0</v>
      </c>
      <c r="X63" s="196">
        <v>0</v>
      </c>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v>0</v>
      </c>
      <c r="AU63" s="196">
        <v>0</v>
      </c>
      <c r="AV63" s="465">
        <v>0</v>
      </c>
      <c r="AW63" s="196">
        <v>0</v>
      </c>
      <c r="AX63" s="196">
        <v>0</v>
      </c>
      <c r="BG63" s="8"/>
      <c r="BJ63" s="5"/>
      <c r="BK63" s="5">
        <f>Tableau1[[#This Row],[Base de financement]]-Tableau1[[#This Row],[Subvention ANRU]]-Tableau1[[#This Row],[Ville]]-Tableau1[[#This Row],[Plaine Commune]]-Tableau1[[#This Row],[Bailleurs]]-Tableau1[[#This Row],[CDC]]-Tableau1[[#This Row],[CD93]]-Tableau1[[#This Row],[CRIF]]-Tableau1[[#This Row],[Europe]]-Tableau1[[#This Row],[Autres]]</f>
        <v>0</v>
      </c>
      <c r="BL63" s="412">
        <f>S63-T63-V63-W63-Y63-Z63-AA63-AB63-AC63-AD63-AE63-AF63-AG63-AH63-AI63-AJ63-AK63-AL63-AM63-AN63-AO63-AP63-AQ63-AR63-AS63-AT63-AU63-AV63-AW63-AY63-BE63-BF63-Tableau1[[#This Row],[Ville de Pantin ]]-Tableau1[[#This Row],[Est-Ensemble ]]-Tableau1[[#This Row],[ASGO]]</f>
        <v>0</v>
      </c>
    </row>
    <row r="64" spans="1:64" ht="20.100000000000001" customHeight="1" x14ac:dyDescent="0.25">
      <c r="A64" s="5" t="s">
        <v>245</v>
      </c>
      <c r="B64" s="5" t="s">
        <v>254</v>
      </c>
      <c r="C64" s="14" t="s">
        <v>1347</v>
      </c>
      <c r="D64" s="5" t="s">
        <v>247</v>
      </c>
      <c r="E64" s="5" t="s">
        <v>36</v>
      </c>
      <c r="F64" s="5" t="s">
        <v>248</v>
      </c>
      <c r="H64" s="404" t="s">
        <v>255</v>
      </c>
      <c r="I64" s="5" t="s">
        <v>256</v>
      </c>
      <c r="J64" s="5" t="s">
        <v>68</v>
      </c>
      <c r="K64" s="5" t="s">
        <v>69</v>
      </c>
      <c r="L64" s="5" t="s">
        <v>22</v>
      </c>
      <c r="N64" s="5" t="s">
        <v>42</v>
      </c>
      <c r="P64" s="5" t="s">
        <v>257</v>
      </c>
      <c r="Q64" s="227">
        <v>180000</v>
      </c>
      <c r="R64" s="7">
        <v>216000</v>
      </c>
      <c r="S64" s="7">
        <v>180000</v>
      </c>
      <c r="T64" s="7">
        <v>0</v>
      </c>
      <c r="U64" s="7" t="s">
        <v>258</v>
      </c>
      <c r="V64" s="7">
        <v>0</v>
      </c>
      <c r="W64" s="7">
        <v>45000</v>
      </c>
      <c r="X64" s="7">
        <v>0</v>
      </c>
      <c r="Y64" s="7"/>
      <c r="Z64" s="7"/>
      <c r="AA64" s="7"/>
      <c r="AB64" s="7"/>
      <c r="AC64" s="7"/>
      <c r="AD64" s="7"/>
      <c r="AE64" s="7"/>
      <c r="AF64" s="7"/>
      <c r="AG64" s="7"/>
      <c r="AH64" s="7"/>
      <c r="AI64" s="7"/>
      <c r="AJ64" s="7"/>
      <c r="AK64" s="7"/>
      <c r="AL64" s="7"/>
      <c r="AM64" s="7"/>
      <c r="AN64" s="7"/>
      <c r="AO64" s="7"/>
      <c r="AP64" s="7"/>
      <c r="AQ64" s="7">
        <f>Tableau1[[#This Row],[Bailleurs]]</f>
        <v>0</v>
      </c>
      <c r="AR64" s="7"/>
      <c r="AS64" s="7"/>
      <c r="AT64" s="7">
        <v>0</v>
      </c>
      <c r="AU64" s="7">
        <v>0</v>
      </c>
      <c r="AV64" s="7">
        <v>45000</v>
      </c>
      <c r="AW64" s="7">
        <v>0</v>
      </c>
      <c r="AX64" s="7">
        <v>90000</v>
      </c>
      <c r="AY64" s="5">
        <v>90000</v>
      </c>
      <c r="BG64" s="8">
        <v>42736</v>
      </c>
      <c r="BH64" s="5">
        <v>18</v>
      </c>
      <c r="BI64" s="5">
        <v>164</v>
      </c>
      <c r="BJ64" s="5">
        <v>0</v>
      </c>
      <c r="BK64" s="5">
        <f>Tableau1[[#This Row],[Base de financement]]-Tableau1[[#This Row],[Subvention ANRU]]-Tableau1[[#This Row],[Ville]]-Tableau1[[#This Row],[Plaine Commune]]-Tableau1[[#This Row],[Bailleurs]]-Tableau1[[#This Row],[CDC]]-Tableau1[[#This Row],[CD93]]-Tableau1[[#This Row],[CRIF]]-Tableau1[[#This Row],[Europe]]-Tableau1[[#This Row],[Autres]]</f>
        <v>0</v>
      </c>
      <c r="BL64" s="412">
        <f>S64-T64-V64-W64-Y64-Z64-AA64-AB64-AC64-AD64-AE64-AF64-AG64-AH64-AI64-AJ64-AK64-AL64-AM64-AN64-AO64-AP64-AQ64-AR64-AS64-AT64-AU64-AV64-AW64-AY64-BE64-BF64-Tableau1[[#This Row],[Ville de Pantin ]]-Tableau1[[#This Row],[Est-Ensemble ]]-Tableau1[[#This Row],[ASGO]]</f>
        <v>0</v>
      </c>
    </row>
    <row r="65" spans="1:64" ht="20.100000000000001" customHeight="1" x14ac:dyDescent="0.25">
      <c r="A65" s="5" t="s">
        <v>245</v>
      </c>
      <c r="B65" s="5" t="s">
        <v>259</v>
      </c>
      <c r="C65" s="14" t="s">
        <v>1230</v>
      </c>
      <c r="D65" s="5" t="s">
        <v>247</v>
      </c>
      <c r="E65" s="5" t="s">
        <v>260</v>
      </c>
      <c r="F65" s="5" t="s">
        <v>248</v>
      </c>
      <c r="H65" s="404" t="s">
        <v>261</v>
      </c>
      <c r="I65" s="5" t="s">
        <v>262</v>
      </c>
      <c r="J65" s="5" t="s">
        <v>53</v>
      </c>
      <c r="K65" s="5" t="s">
        <v>47</v>
      </c>
      <c r="L65" s="5" t="s">
        <v>22</v>
      </c>
      <c r="O65" s="5" t="s">
        <v>42</v>
      </c>
      <c r="P65" s="5" t="s">
        <v>263</v>
      </c>
      <c r="Q65" s="227">
        <v>5000</v>
      </c>
      <c r="R65" s="7">
        <v>6000</v>
      </c>
      <c r="S65" s="7">
        <v>5000</v>
      </c>
      <c r="T65" s="7">
        <v>2500</v>
      </c>
      <c r="U65" s="7" t="s">
        <v>264</v>
      </c>
      <c r="V65" s="7">
        <v>0</v>
      </c>
      <c r="W65" s="7">
        <v>1250</v>
      </c>
      <c r="X65" s="7">
        <v>1250</v>
      </c>
      <c r="Y65" s="7">
        <v>1250</v>
      </c>
      <c r="Z65" s="7"/>
      <c r="AA65" s="7"/>
      <c r="AB65" s="7"/>
      <c r="AC65" s="7"/>
      <c r="AD65" s="7"/>
      <c r="AE65" s="7"/>
      <c r="AF65" s="7"/>
      <c r="AG65" s="7"/>
      <c r="AH65" s="7"/>
      <c r="AI65" s="7"/>
      <c r="AJ65" s="7"/>
      <c r="AK65" s="7"/>
      <c r="AL65" s="7"/>
      <c r="AM65" s="7"/>
      <c r="AN65" s="7"/>
      <c r="AO65" s="7"/>
      <c r="AP65" s="7"/>
      <c r="AQ65" s="7"/>
      <c r="AR65" s="7"/>
      <c r="AS65" s="7"/>
      <c r="AT65" s="7">
        <v>0</v>
      </c>
      <c r="AU65" s="7">
        <v>0</v>
      </c>
      <c r="AV65" s="7">
        <v>0</v>
      </c>
      <c r="AW65" s="7">
        <v>0</v>
      </c>
      <c r="AX65" s="7">
        <v>0</v>
      </c>
      <c r="BG65" s="8">
        <v>42445</v>
      </c>
      <c r="BH65" s="5">
        <v>1</v>
      </c>
      <c r="BJ65" s="5">
        <v>0</v>
      </c>
      <c r="BK65" s="5">
        <f>Tableau1[[#This Row],[Base de financement]]-Tableau1[[#This Row],[Subvention ANRU]]-Tableau1[[#This Row],[Ville]]-Tableau1[[#This Row],[Plaine Commune]]-Tableau1[[#This Row],[Bailleurs]]-Tableau1[[#This Row],[CDC]]-Tableau1[[#This Row],[CD93]]-Tableau1[[#This Row],[CRIF]]-Tableau1[[#This Row],[Europe]]-Tableau1[[#This Row],[Autres]]</f>
        <v>0</v>
      </c>
      <c r="BL65" s="412">
        <f>S65-T65-V65-W65-Y65-Z65-AA65-AB65-AC65-AD65-AE65-AF65-AG65-AH65-AI65-AJ65-AK65-AL65-AM65-AN65-AO65-AP65-AQ65-AR65-AS65-AT65-AU65-AV65-AW65-AY65-BE65-BF65-Tableau1[[#This Row],[Ville de Pantin ]]-Tableau1[[#This Row],[Est-Ensemble ]]-Tableau1[[#This Row],[ASGO]]</f>
        <v>0</v>
      </c>
    </row>
    <row r="66" spans="1:64" ht="20.100000000000001" hidden="1" customHeight="1" x14ac:dyDescent="0.25">
      <c r="A66" s="5" t="s">
        <v>245</v>
      </c>
      <c r="B66" s="5" t="s">
        <v>265</v>
      </c>
      <c r="C66" s="14" t="s">
        <v>1231</v>
      </c>
      <c r="D66" s="5" t="s">
        <v>247</v>
      </c>
      <c r="F66" s="5" t="s">
        <v>248</v>
      </c>
      <c r="H66" s="404" t="s">
        <v>266</v>
      </c>
      <c r="J66" s="5" t="s">
        <v>68</v>
      </c>
      <c r="K66" s="5" t="s">
        <v>69</v>
      </c>
      <c r="L66" s="5" t="s">
        <v>267</v>
      </c>
      <c r="O66" s="5" t="s">
        <v>42</v>
      </c>
      <c r="P66" s="5" t="s">
        <v>268</v>
      </c>
      <c r="Q66" s="227">
        <v>750000</v>
      </c>
      <c r="R66" s="7">
        <v>900000</v>
      </c>
      <c r="S66" s="7">
        <v>750000</v>
      </c>
      <c r="T66" s="7">
        <v>247500</v>
      </c>
      <c r="U66" s="7" t="s">
        <v>269</v>
      </c>
      <c r="V66" s="7">
        <v>0</v>
      </c>
      <c r="W66" s="7">
        <v>0</v>
      </c>
      <c r="X66" s="7">
        <v>502500</v>
      </c>
      <c r="Y66" s="7">
        <v>502500</v>
      </c>
      <c r="Z66" s="7"/>
      <c r="AA66" s="7"/>
      <c r="AB66" s="7"/>
      <c r="AC66" s="7"/>
      <c r="AD66" s="7"/>
      <c r="AE66" s="7"/>
      <c r="AF66" s="7"/>
      <c r="AG66" s="7"/>
      <c r="AH66" s="7"/>
      <c r="AI66" s="7"/>
      <c r="AJ66" s="7"/>
      <c r="AK66" s="7"/>
      <c r="AL66" s="7"/>
      <c r="AM66" s="7"/>
      <c r="AN66" s="7"/>
      <c r="AO66" s="7"/>
      <c r="AP66" s="7"/>
      <c r="AQ66" s="7"/>
      <c r="AR66" s="7"/>
      <c r="AS66" s="7"/>
      <c r="AT66" s="7">
        <v>0</v>
      </c>
      <c r="AU66" s="7">
        <v>0</v>
      </c>
      <c r="AV66" s="7">
        <v>0</v>
      </c>
      <c r="AW66" s="7">
        <v>0</v>
      </c>
      <c r="AX66" s="7">
        <v>0</v>
      </c>
      <c r="BG66" s="8">
        <v>42445</v>
      </c>
      <c r="BH66" s="5">
        <v>8</v>
      </c>
      <c r="BI66" s="5">
        <v>2214</v>
      </c>
      <c r="BJ66" s="5">
        <v>0</v>
      </c>
      <c r="BK66" s="5">
        <f>Tableau1[[#This Row],[Base de financement]]-Tableau1[[#This Row],[Subvention ANRU]]-Tableau1[[#This Row],[Ville]]-Tableau1[[#This Row],[Plaine Commune]]-Tableau1[[#This Row],[Bailleurs]]-Tableau1[[#This Row],[CDC]]-Tableau1[[#This Row],[CD93]]-Tableau1[[#This Row],[CRIF]]-Tableau1[[#This Row],[Europe]]-Tableau1[[#This Row],[Autres]]</f>
        <v>0</v>
      </c>
      <c r="BL66" s="412">
        <f>S66-T66-V66-W66-Y66-Z66-AA66-AB66-AC66-AD66-AE66-AF66-AG66-AH66-AI66-AJ66-AK66-AL66-AM66-AN66-AO66-AP66-AQ66-AR66-AS66-AT66-AU66-AV66-AW66-AY66-BE66-BF66-Tableau1[[#This Row],[Ville de Pantin ]]-Tableau1[[#This Row],[Est-Ensemble ]]-Tableau1[[#This Row],[ASGO]]</f>
        <v>0</v>
      </c>
    </row>
    <row r="67" spans="1:64" ht="20.100000000000001" hidden="1" customHeight="1" x14ac:dyDescent="0.25">
      <c r="A67" s="5" t="s">
        <v>245</v>
      </c>
      <c r="B67" s="5" t="s">
        <v>270</v>
      </c>
      <c r="C67" s="14" t="s">
        <v>1232</v>
      </c>
      <c r="D67" s="5" t="s">
        <v>247</v>
      </c>
      <c r="F67" s="5" t="s">
        <v>248</v>
      </c>
      <c r="H67" s="404" t="s">
        <v>266</v>
      </c>
      <c r="J67" s="5" t="s">
        <v>68</v>
      </c>
      <c r="K67" s="5" t="s">
        <v>69</v>
      </c>
      <c r="L67" s="5" t="s">
        <v>271</v>
      </c>
      <c r="O67" s="5" t="s">
        <v>42</v>
      </c>
      <c r="P67" s="5" t="s">
        <v>272</v>
      </c>
      <c r="Q67" s="227">
        <v>80000</v>
      </c>
      <c r="R67" s="7">
        <v>96000</v>
      </c>
      <c r="S67" s="7">
        <v>80000</v>
      </c>
      <c r="T67" s="7">
        <v>40000</v>
      </c>
      <c r="U67" s="7"/>
      <c r="V67" s="7">
        <v>0</v>
      </c>
      <c r="W67" s="7">
        <v>0</v>
      </c>
      <c r="X67" s="7">
        <v>40000</v>
      </c>
      <c r="Y67" s="7"/>
      <c r="Z67" s="7"/>
      <c r="AA67" s="7"/>
      <c r="AB67" s="7"/>
      <c r="AC67" s="7"/>
      <c r="AD67" s="7"/>
      <c r="AE67" s="7"/>
      <c r="AF67" s="7"/>
      <c r="AG67" s="7"/>
      <c r="AH67" s="7"/>
      <c r="AI67" s="7"/>
      <c r="AJ67" s="7"/>
      <c r="AK67" s="7"/>
      <c r="AL67" s="7"/>
      <c r="AM67" s="7"/>
      <c r="AN67" s="7"/>
      <c r="AO67" s="7">
        <v>40000</v>
      </c>
      <c r="AP67" s="7"/>
      <c r="AQ67" s="7"/>
      <c r="AR67" s="7"/>
      <c r="AS67" s="7"/>
      <c r="AT67" s="7">
        <v>0</v>
      </c>
      <c r="AU67" s="7">
        <v>0</v>
      </c>
      <c r="AV67" s="7">
        <v>0</v>
      </c>
      <c r="AW67" s="7">
        <v>0</v>
      </c>
      <c r="AX67" s="7">
        <v>0</v>
      </c>
      <c r="BG67" s="8">
        <v>42445</v>
      </c>
      <c r="BH67" s="5">
        <v>8</v>
      </c>
      <c r="BI67" s="5">
        <v>404</v>
      </c>
      <c r="BJ67" s="5">
        <v>0</v>
      </c>
      <c r="BK67" s="5">
        <f>Tableau1[[#This Row],[Base de financement]]-Tableau1[[#This Row],[Subvention ANRU]]-Tableau1[[#This Row],[Ville]]-Tableau1[[#This Row],[Plaine Commune]]-Tableau1[[#This Row],[Bailleurs]]-Tableau1[[#This Row],[CDC]]-Tableau1[[#This Row],[CD93]]-Tableau1[[#This Row],[CRIF]]-Tableau1[[#This Row],[Europe]]-Tableau1[[#This Row],[Autres]]</f>
        <v>0</v>
      </c>
      <c r="BL67" s="412">
        <f>S67-T67-V67-W67-Y67-Z67-AA67-AB67-AC67-AD67-AE67-AF67-AG67-AH67-AI67-AJ67-AK67-AL67-AM67-AN67-AO67-AP67-AQ67-AR67-AS67-AT67-AU67-AV67-AW67-AY67-BE67-BF67-Tableau1[[#This Row],[Ville de Pantin ]]-Tableau1[[#This Row],[Est-Ensemble ]]-Tableau1[[#This Row],[ASGO]]</f>
        <v>0</v>
      </c>
    </row>
    <row r="68" spans="1:64" ht="20.100000000000001" hidden="1" customHeight="1" x14ac:dyDescent="0.25">
      <c r="A68" s="5" t="s">
        <v>245</v>
      </c>
      <c r="B68" s="5" t="s">
        <v>273</v>
      </c>
      <c r="C68" s="14" t="s">
        <v>1233</v>
      </c>
      <c r="D68" s="5" t="s">
        <v>247</v>
      </c>
      <c r="F68" s="5" t="s">
        <v>248</v>
      </c>
      <c r="H68" s="404" t="s">
        <v>274</v>
      </c>
      <c r="J68" s="5" t="s">
        <v>53</v>
      </c>
      <c r="K68" s="5" t="s">
        <v>61</v>
      </c>
      <c r="L68" s="5" t="s">
        <v>275</v>
      </c>
      <c r="O68" s="5" t="s">
        <v>42</v>
      </c>
      <c r="P68" s="5" t="s">
        <v>276</v>
      </c>
      <c r="Q68" s="227">
        <v>300000</v>
      </c>
      <c r="R68" s="7">
        <v>360000</v>
      </c>
      <c r="S68" s="7">
        <v>300000</v>
      </c>
      <c r="T68" s="7">
        <v>111000</v>
      </c>
      <c r="U68" s="7" t="s">
        <v>277</v>
      </c>
      <c r="V68" s="7">
        <v>0</v>
      </c>
      <c r="W68" s="7">
        <v>0</v>
      </c>
      <c r="X68" s="7">
        <v>189000</v>
      </c>
      <c r="Y68" s="7"/>
      <c r="Z68" s="7"/>
      <c r="AA68" s="7"/>
      <c r="AB68" s="7"/>
      <c r="AC68" s="7"/>
      <c r="AD68" s="7"/>
      <c r="AE68" s="7"/>
      <c r="AF68" s="7"/>
      <c r="AG68" s="7"/>
      <c r="AH68" s="7"/>
      <c r="AI68" s="7"/>
      <c r="AJ68" s="7"/>
      <c r="AK68" s="7"/>
      <c r="AL68" s="7"/>
      <c r="AM68" s="7"/>
      <c r="AN68" s="7">
        <v>189000</v>
      </c>
      <c r="AO68" s="7"/>
      <c r="AP68" s="7"/>
      <c r="AQ68" s="7"/>
      <c r="AR68" s="7"/>
      <c r="AS68" s="7"/>
      <c r="AT68" s="7">
        <v>0</v>
      </c>
      <c r="AU68" s="7">
        <v>0</v>
      </c>
      <c r="AV68" s="7">
        <v>0</v>
      </c>
      <c r="AW68" s="7">
        <v>0</v>
      </c>
      <c r="AX68" s="7">
        <v>0</v>
      </c>
      <c r="BG68" s="8">
        <v>42445</v>
      </c>
      <c r="BH68" s="5">
        <v>4</v>
      </c>
      <c r="BJ68" s="5">
        <v>0</v>
      </c>
      <c r="BK68" s="5">
        <f>Tableau1[[#This Row],[Base de financement]]-Tableau1[[#This Row],[Subvention ANRU]]-Tableau1[[#This Row],[Ville]]-Tableau1[[#This Row],[Plaine Commune]]-Tableau1[[#This Row],[Bailleurs]]-Tableau1[[#This Row],[CDC]]-Tableau1[[#This Row],[CD93]]-Tableau1[[#This Row],[CRIF]]-Tableau1[[#This Row],[Europe]]-Tableau1[[#This Row],[Autres]]</f>
        <v>0</v>
      </c>
      <c r="BL68" s="412">
        <f>S68-T68-V68-W68-Y68-Z68-AA68-AB68-AC68-AD68-AE68-AF68-AG68-AH68-AI68-AJ68-AK68-AL68-AM68-AN68-AO68-AP68-AQ68-AR68-AS68-AT68-AU68-AV68-AW68-AY68-BE68-BF68-Tableau1[[#This Row],[Ville de Pantin ]]-Tableau1[[#This Row],[Est-Ensemble ]]-Tableau1[[#This Row],[ASGO]]</f>
        <v>0</v>
      </c>
    </row>
    <row r="69" spans="1:64" ht="20.100000000000001" hidden="1" customHeight="1" x14ac:dyDescent="0.25">
      <c r="A69" s="5" t="s">
        <v>245</v>
      </c>
      <c r="B69" s="5" t="s">
        <v>278</v>
      </c>
      <c r="C69" s="14" t="s">
        <v>1234</v>
      </c>
      <c r="D69" s="5" t="s">
        <v>247</v>
      </c>
      <c r="F69" s="5" t="s">
        <v>248</v>
      </c>
      <c r="H69" s="404" t="s">
        <v>279</v>
      </c>
      <c r="J69" s="5" t="s">
        <v>68</v>
      </c>
      <c r="K69" s="5" t="s">
        <v>69</v>
      </c>
      <c r="L69" s="5" t="s">
        <v>280</v>
      </c>
      <c r="O69" s="5" t="s">
        <v>42</v>
      </c>
      <c r="P69" s="5" t="s">
        <v>281</v>
      </c>
      <c r="Q69" s="227">
        <v>39355</v>
      </c>
      <c r="R69" s="7">
        <v>47226</v>
      </c>
      <c r="S69" s="7">
        <v>39355</v>
      </c>
      <c r="T69" s="7">
        <v>19677</v>
      </c>
      <c r="U69" s="7" t="s">
        <v>282</v>
      </c>
      <c r="V69" s="7">
        <v>0</v>
      </c>
      <c r="W69" s="7">
        <v>0</v>
      </c>
      <c r="X69" s="7">
        <v>19677</v>
      </c>
      <c r="Y69" s="7"/>
      <c r="Z69" s="7"/>
      <c r="AA69" s="7"/>
      <c r="AB69" s="7"/>
      <c r="AC69" s="7"/>
      <c r="AD69" s="7"/>
      <c r="AE69" s="7"/>
      <c r="AF69" s="7"/>
      <c r="AG69" s="7"/>
      <c r="AH69" s="7"/>
      <c r="AI69" s="7"/>
      <c r="AJ69" s="7"/>
      <c r="AK69" s="7"/>
      <c r="AL69" s="7"/>
      <c r="AM69" s="7">
        <v>19677</v>
      </c>
      <c r="AN69" s="7"/>
      <c r="AO69" s="7"/>
      <c r="AP69" s="7"/>
      <c r="AQ69" s="7"/>
      <c r="AR69" s="7"/>
      <c r="AS69" s="7"/>
      <c r="AT69" s="7">
        <v>0</v>
      </c>
      <c r="AU69" s="7">
        <v>0</v>
      </c>
      <c r="AV69" s="7">
        <v>0</v>
      </c>
      <c r="AW69" s="7">
        <v>0</v>
      </c>
      <c r="AX69" s="7">
        <v>0</v>
      </c>
      <c r="BG69" s="8">
        <v>42445</v>
      </c>
      <c r="BH69" s="5">
        <v>12</v>
      </c>
      <c r="BI69" s="5">
        <v>495</v>
      </c>
      <c r="BJ69" s="5">
        <v>0</v>
      </c>
      <c r="BK69" s="5">
        <f>Tableau1[[#This Row],[Base de financement]]-Tableau1[[#This Row],[Subvention ANRU]]-Tableau1[[#This Row],[Ville]]-Tableau1[[#This Row],[Plaine Commune]]-Tableau1[[#This Row],[Bailleurs]]-Tableau1[[#This Row],[CDC]]-Tableau1[[#This Row],[CD93]]-Tableau1[[#This Row],[CRIF]]-Tableau1[[#This Row],[Europe]]-Tableau1[[#This Row],[Autres]]</f>
        <v>1</v>
      </c>
      <c r="BL69" s="412">
        <f>S69-T69-V69-W69-Y69-Z69-AA69-AB69-AC69-AD69-AE69-AF69-AG69-AH69-AI69-AJ69-AK69-AL69-AM69-AN69-AO69-AP69-AQ69-AR69-AS69-AT69-AU69-AV69-AW69-AY69-BE69-BF69-Tableau1[[#This Row],[Ville de Pantin ]]-Tableau1[[#This Row],[Est-Ensemble ]]-Tableau1[[#This Row],[ASGO]]</f>
        <v>1</v>
      </c>
    </row>
    <row r="70" spans="1:64" ht="20.100000000000001" hidden="1" customHeight="1" x14ac:dyDescent="0.25">
      <c r="A70" s="5" t="s">
        <v>245</v>
      </c>
      <c r="B70" s="5" t="s">
        <v>283</v>
      </c>
      <c r="C70" s="14" t="s">
        <v>1235</v>
      </c>
      <c r="D70" s="5" t="s">
        <v>247</v>
      </c>
      <c r="F70" s="5" t="s">
        <v>248</v>
      </c>
      <c r="H70" s="404" t="s">
        <v>284</v>
      </c>
      <c r="J70" s="5" t="s">
        <v>68</v>
      </c>
      <c r="K70" s="5" t="s">
        <v>69</v>
      </c>
      <c r="L70" s="5" t="s">
        <v>285</v>
      </c>
      <c r="O70" s="5" t="s">
        <v>42</v>
      </c>
      <c r="P70" s="5" t="s">
        <v>286</v>
      </c>
      <c r="Q70" s="227">
        <v>47371</v>
      </c>
      <c r="R70" s="7">
        <v>56845</v>
      </c>
      <c r="S70" s="7">
        <v>47371</v>
      </c>
      <c r="T70" s="7">
        <v>23685</v>
      </c>
      <c r="U70" s="7" t="s">
        <v>282</v>
      </c>
      <c r="V70" s="7">
        <v>0</v>
      </c>
      <c r="W70" s="7">
        <v>0</v>
      </c>
      <c r="X70" s="7">
        <v>23685</v>
      </c>
      <c r="Y70" s="7"/>
      <c r="Z70" s="7"/>
      <c r="AA70" s="7"/>
      <c r="AB70" s="7"/>
      <c r="AC70" s="7"/>
      <c r="AD70" s="7"/>
      <c r="AE70" s="7"/>
      <c r="AF70" s="7"/>
      <c r="AG70" s="7"/>
      <c r="AH70" s="7"/>
      <c r="AI70" s="7"/>
      <c r="AJ70" s="7"/>
      <c r="AK70" s="7"/>
      <c r="AL70" s="7">
        <v>23685</v>
      </c>
      <c r="AM70" s="7"/>
      <c r="AN70" s="7"/>
      <c r="AO70" s="7"/>
      <c r="AP70" s="7"/>
      <c r="AQ70" s="7"/>
      <c r="AR70" s="7"/>
      <c r="AS70" s="7"/>
      <c r="AT70" s="7">
        <v>0</v>
      </c>
      <c r="AU70" s="7">
        <v>0</v>
      </c>
      <c r="AV70" s="7">
        <v>0</v>
      </c>
      <c r="AW70" s="7">
        <v>0</v>
      </c>
      <c r="AX70" s="7">
        <v>0</v>
      </c>
      <c r="BG70" s="8">
        <v>42445</v>
      </c>
      <c r="BH70" s="5">
        <v>6</v>
      </c>
      <c r="BI70" s="5">
        <v>127</v>
      </c>
      <c r="BJ70" s="5">
        <v>0</v>
      </c>
      <c r="BK70" s="5">
        <f>Tableau1[[#This Row],[Base de financement]]-Tableau1[[#This Row],[Subvention ANRU]]-Tableau1[[#This Row],[Ville]]-Tableau1[[#This Row],[Plaine Commune]]-Tableau1[[#This Row],[Bailleurs]]-Tableau1[[#This Row],[CDC]]-Tableau1[[#This Row],[CD93]]-Tableau1[[#This Row],[CRIF]]-Tableau1[[#This Row],[Europe]]-Tableau1[[#This Row],[Autres]]</f>
        <v>1</v>
      </c>
      <c r="BL70" s="412">
        <f>S70-T70-V70-W70-Y70-Z70-AA70-AB70-AC70-AD70-AE70-AF70-AG70-AH70-AI70-AJ70-AK70-AL70-AM70-AN70-AO70-AP70-AQ70-AR70-AS70-AT70-AU70-AV70-AW70-AY70-BE70-BF70-Tableau1[[#This Row],[Ville de Pantin ]]-Tableau1[[#This Row],[Est-Ensemble ]]-Tableau1[[#This Row],[ASGO]]</f>
        <v>1</v>
      </c>
    </row>
    <row r="71" spans="1:64" ht="20.100000000000001" hidden="1" customHeight="1" x14ac:dyDescent="0.25">
      <c r="A71" s="5" t="s">
        <v>245</v>
      </c>
      <c r="B71" s="5" t="s">
        <v>287</v>
      </c>
      <c r="C71" s="14" t="s">
        <v>1236</v>
      </c>
      <c r="D71" s="5" t="s">
        <v>247</v>
      </c>
      <c r="F71" s="5" t="s">
        <v>248</v>
      </c>
      <c r="H71" s="404" t="s">
        <v>288</v>
      </c>
      <c r="J71" s="5" t="s">
        <v>53</v>
      </c>
      <c r="K71" s="5" t="s">
        <v>61</v>
      </c>
      <c r="L71" s="5" t="s">
        <v>275</v>
      </c>
      <c r="O71" s="5" t="s">
        <v>42</v>
      </c>
      <c r="P71" s="5" t="s">
        <v>289</v>
      </c>
      <c r="Q71" s="227">
        <v>166667</v>
      </c>
      <c r="R71" s="7">
        <v>200000.4</v>
      </c>
      <c r="S71" s="7">
        <v>166667</v>
      </c>
      <c r="T71" s="7">
        <v>61667</v>
      </c>
      <c r="U71" s="7" t="s">
        <v>290</v>
      </c>
      <c r="V71" s="7">
        <v>0</v>
      </c>
      <c r="W71" s="7">
        <v>0</v>
      </c>
      <c r="X71" s="7">
        <v>105000</v>
      </c>
      <c r="Y71" s="7"/>
      <c r="Z71" s="7"/>
      <c r="AA71" s="7"/>
      <c r="AB71" s="7"/>
      <c r="AC71" s="7"/>
      <c r="AD71" s="7"/>
      <c r="AE71" s="7"/>
      <c r="AF71" s="7"/>
      <c r="AG71" s="7"/>
      <c r="AH71" s="7"/>
      <c r="AI71" s="7"/>
      <c r="AJ71" s="7"/>
      <c r="AK71" s="7"/>
      <c r="AL71" s="7"/>
      <c r="AM71" s="7"/>
      <c r="AN71" s="7">
        <v>105000</v>
      </c>
      <c r="AO71" s="7"/>
      <c r="AP71" s="7"/>
      <c r="AQ71" s="7"/>
      <c r="AR71" s="7"/>
      <c r="AS71" s="7"/>
      <c r="AT71" s="7">
        <v>0</v>
      </c>
      <c r="AU71" s="7">
        <v>0</v>
      </c>
      <c r="AV71" s="7">
        <v>0</v>
      </c>
      <c r="AW71" s="7">
        <v>0</v>
      </c>
      <c r="AX71" s="7">
        <v>0</v>
      </c>
      <c r="BG71" s="8">
        <v>42445</v>
      </c>
      <c r="BH71" s="5">
        <v>6</v>
      </c>
      <c r="BI71" s="5">
        <v>2242</v>
      </c>
      <c r="BJ71" s="5">
        <v>0</v>
      </c>
      <c r="BK71" s="5">
        <f>Tableau1[[#This Row],[Base de financement]]-Tableau1[[#This Row],[Subvention ANRU]]-Tableau1[[#This Row],[Ville]]-Tableau1[[#This Row],[Plaine Commune]]-Tableau1[[#This Row],[Bailleurs]]-Tableau1[[#This Row],[CDC]]-Tableau1[[#This Row],[CD93]]-Tableau1[[#This Row],[CRIF]]-Tableau1[[#This Row],[Europe]]-Tableau1[[#This Row],[Autres]]</f>
        <v>0</v>
      </c>
      <c r="BL71" s="412">
        <f>S71-T71-V71-W71-Y71-Z71-AA71-AB71-AC71-AD71-AE71-AF71-AG71-AH71-AI71-AJ71-AK71-AL71-AM71-AN71-AO71-AP71-AQ71-AR71-AS71-AT71-AU71-AV71-AW71-AY71-BE71-BF71-Tableau1[[#This Row],[Ville de Pantin ]]-Tableau1[[#This Row],[Est-Ensemble ]]-Tableau1[[#This Row],[ASGO]]</f>
        <v>0</v>
      </c>
    </row>
    <row r="72" spans="1:64" ht="20.100000000000001" hidden="1" customHeight="1" x14ac:dyDescent="0.25">
      <c r="A72" s="5" t="s">
        <v>245</v>
      </c>
      <c r="B72" s="5" t="s">
        <v>291</v>
      </c>
      <c r="C72" s="14" t="s">
        <v>1237</v>
      </c>
      <c r="D72" s="5" t="s">
        <v>247</v>
      </c>
      <c r="F72" s="5" t="s">
        <v>248</v>
      </c>
      <c r="H72" s="404" t="s">
        <v>292</v>
      </c>
      <c r="J72" s="5" t="s">
        <v>68</v>
      </c>
      <c r="K72" s="5" t="s">
        <v>69</v>
      </c>
      <c r="L72" s="5" t="s">
        <v>267</v>
      </c>
      <c r="O72" s="5" t="s">
        <v>42</v>
      </c>
      <c r="P72" s="5" t="s">
        <v>293</v>
      </c>
      <c r="Q72" s="227">
        <v>110000</v>
      </c>
      <c r="R72" s="7">
        <v>132000</v>
      </c>
      <c r="S72" s="7">
        <v>110000</v>
      </c>
      <c r="T72" s="7">
        <v>36300</v>
      </c>
      <c r="U72" s="7" t="s">
        <v>269</v>
      </c>
      <c r="V72" s="7">
        <v>0</v>
      </c>
      <c r="W72" s="7">
        <v>0</v>
      </c>
      <c r="X72" s="7">
        <v>73700</v>
      </c>
      <c r="Y72" s="7">
        <v>73700</v>
      </c>
      <c r="Z72" s="7"/>
      <c r="AA72" s="7"/>
      <c r="AB72" s="7"/>
      <c r="AC72" s="7"/>
      <c r="AD72" s="7"/>
      <c r="AE72" s="7"/>
      <c r="AF72" s="7"/>
      <c r="AG72" s="7"/>
      <c r="AH72" s="7"/>
      <c r="AI72" s="7"/>
      <c r="AJ72" s="7"/>
      <c r="AK72" s="7"/>
      <c r="AL72" s="7"/>
      <c r="AM72" s="7"/>
      <c r="AN72" s="7"/>
      <c r="AO72" s="7"/>
      <c r="AP72" s="7"/>
      <c r="AQ72" s="7"/>
      <c r="AR72" s="7"/>
      <c r="AS72" s="7"/>
      <c r="AT72" s="7">
        <v>0</v>
      </c>
      <c r="AU72" s="7">
        <v>0</v>
      </c>
      <c r="AV72" s="7">
        <v>0</v>
      </c>
      <c r="AW72" s="7">
        <v>0</v>
      </c>
      <c r="AX72" s="7">
        <v>0</v>
      </c>
      <c r="BG72" s="8">
        <v>42445</v>
      </c>
      <c r="BH72" s="5">
        <v>12</v>
      </c>
      <c r="BI72" s="5">
        <v>2214</v>
      </c>
      <c r="BJ72" s="5">
        <v>0</v>
      </c>
      <c r="BK72" s="5">
        <f>Tableau1[[#This Row],[Base de financement]]-Tableau1[[#This Row],[Subvention ANRU]]-Tableau1[[#This Row],[Ville]]-Tableau1[[#This Row],[Plaine Commune]]-Tableau1[[#This Row],[Bailleurs]]-Tableau1[[#This Row],[CDC]]-Tableau1[[#This Row],[CD93]]-Tableau1[[#This Row],[CRIF]]-Tableau1[[#This Row],[Europe]]-Tableau1[[#This Row],[Autres]]</f>
        <v>0</v>
      </c>
      <c r="BL72" s="412">
        <f>S72-T72-V72-W72-Y72-Z72-AA72-AB72-AC72-AD72-AE72-AF72-AG72-AH72-AI72-AJ72-AK72-AL72-AM72-AN72-AO72-AP72-AQ72-AR72-AS72-AT72-AU72-AV72-AW72-AY72-BE72-BF72-Tableau1[[#This Row],[Ville de Pantin ]]-Tableau1[[#This Row],[Est-Ensemble ]]-Tableau1[[#This Row],[ASGO]]</f>
        <v>0</v>
      </c>
    </row>
    <row r="73" spans="1:64" ht="20.100000000000001" hidden="1" customHeight="1" x14ac:dyDescent="0.25">
      <c r="A73" s="5" t="s">
        <v>245</v>
      </c>
      <c r="B73" s="5" t="s">
        <v>294</v>
      </c>
      <c r="C73" s="14" t="s">
        <v>1238</v>
      </c>
      <c r="D73" s="5" t="s">
        <v>247</v>
      </c>
      <c r="F73" s="5" t="s">
        <v>248</v>
      </c>
      <c r="H73" s="404" t="s">
        <v>292</v>
      </c>
      <c r="J73" s="5" t="s">
        <v>68</v>
      </c>
      <c r="K73" s="5" t="s">
        <v>69</v>
      </c>
      <c r="L73" s="5" t="s">
        <v>271</v>
      </c>
      <c r="O73" s="5" t="s">
        <v>42</v>
      </c>
      <c r="P73" s="5" t="s">
        <v>295</v>
      </c>
      <c r="Q73" s="227">
        <v>40000</v>
      </c>
      <c r="R73" s="7">
        <v>48000</v>
      </c>
      <c r="S73" s="7">
        <v>40000</v>
      </c>
      <c r="T73" s="7">
        <v>20000</v>
      </c>
      <c r="U73" s="7"/>
      <c r="V73" s="7">
        <v>0</v>
      </c>
      <c r="W73" s="7">
        <v>0</v>
      </c>
      <c r="X73" s="7">
        <v>20000</v>
      </c>
      <c r="Y73" s="7"/>
      <c r="Z73" s="7"/>
      <c r="AA73" s="7"/>
      <c r="AB73" s="7"/>
      <c r="AC73" s="7"/>
      <c r="AD73" s="7"/>
      <c r="AE73" s="7"/>
      <c r="AF73" s="7"/>
      <c r="AG73" s="7"/>
      <c r="AH73" s="7"/>
      <c r="AI73" s="7"/>
      <c r="AJ73" s="7"/>
      <c r="AK73" s="7"/>
      <c r="AL73" s="7"/>
      <c r="AM73" s="7"/>
      <c r="AN73" s="7"/>
      <c r="AO73" s="7">
        <v>20000</v>
      </c>
      <c r="AP73" s="7"/>
      <c r="AQ73" s="7"/>
      <c r="AR73" s="7"/>
      <c r="AS73" s="7"/>
      <c r="AT73" s="7">
        <v>0</v>
      </c>
      <c r="AU73" s="7">
        <v>0</v>
      </c>
      <c r="AV73" s="7">
        <v>0</v>
      </c>
      <c r="AW73" s="7">
        <v>0</v>
      </c>
      <c r="AX73" s="7">
        <v>0</v>
      </c>
      <c r="BG73" s="8">
        <v>42445</v>
      </c>
      <c r="BH73" s="5">
        <v>9</v>
      </c>
      <c r="BI73" s="5">
        <v>404</v>
      </c>
      <c r="BJ73" s="5">
        <v>0</v>
      </c>
      <c r="BK73" s="5">
        <f>Tableau1[[#This Row],[Base de financement]]-Tableau1[[#This Row],[Subvention ANRU]]-Tableau1[[#This Row],[Ville]]-Tableau1[[#This Row],[Plaine Commune]]-Tableau1[[#This Row],[Bailleurs]]-Tableau1[[#This Row],[CDC]]-Tableau1[[#This Row],[CD93]]-Tableau1[[#This Row],[CRIF]]-Tableau1[[#This Row],[Europe]]-Tableau1[[#This Row],[Autres]]</f>
        <v>0</v>
      </c>
      <c r="BL73" s="412">
        <f>S73-T73-V73-W73-Y73-Z73-AA73-AB73-AC73-AD73-AE73-AF73-AG73-AH73-AI73-AJ73-AK73-AL73-AM73-AN73-AO73-AP73-AQ73-AR73-AS73-AT73-AU73-AV73-AW73-AY73-BE73-BF73-Tableau1[[#This Row],[Ville de Pantin ]]-Tableau1[[#This Row],[Est-Ensemble ]]-Tableau1[[#This Row],[ASGO]]</f>
        <v>0</v>
      </c>
    </row>
    <row r="74" spans="1:64" ht="20.100000000000001" hidden="1" customHeight="1" x14ac:dyDescent="0.25">
      <c r="A74" s="5" t="s">
        <v>245</v>
      </c>
      <c r="B74" s="5" t="s">
        <v>296</v>
      </c>
      <c r="C74" s="14" t="s">
        <v>1239</v>
      </c>
      <c r="D74" s="5" t="s">
        <v>247</v>
      </c>
      <c r="F74" s="5" t="s">
        <v>248</v>
      </c>
      <c r="H74" s="404" t="s">
        <v>297</v>
      </c>
      <c r="J74" s="5" t="s">
        <v>68</v>
      </c>
      <c r="K74" s="5" t="s">
        <v>69</v>
      </c>
      <c r="L74" s="5" t="s">
        <v>280</v>
      </c>
      <c r="O74" s="5" t="s">
        <v>42</v>
      </c>
      <c r="P74" s="5" t="s">
        <v>298</v>
      </c>
      <c r="Q74" s="227">
        <v>35500</v>
      </c>
      <c r="R74" s="7">
        <v>42600</v>
      </c>
      <c r="S74" s="7">
        <v>35500</v>
      </c>
      <c r="T74" s="7">
        <v>17750</v>
      </c>
      <c r="U74" s="7"/>
      <c r="V74" s="7">
        <v>0</v>
      </c>
      <c r="W74" s="7">
        <v>0</v>
      </c>
      <c r="X74" s="7">
        <v>17750</v>
      </c>
      <c r="Y74" s="7"/>
      <c r="Z74" s="7"/>
      <c r="AA74" s="7"/>
      <c r="AB74" s="7"/>
      <c r="AC74" s="7"/>
      <c r="AD74" s="7"/>
      <c r="AE74" s="7"/>
      <c r="AF74" s="7"/>
      <c r="AG74" s="7"/>
      <c r="AH74" s="7"/>
      <c r="AI74" s="7"/>
      <c r="AJ74" s="7"/>
      <c r="AK74" s="7"/>
      <c r="AL74" s="7"/>
      <c r="AM74" s="7">
        <v>17750</v>
      </c>
      <c r="AN74" s="7"/>
      <c r="AO74" s="7"/>
      <c r="AP74" s="7"/>
      <c r="AQ74" s="7"/>
      <c r="AR74" s="7"/>
      <c r="AS74" s="7"/>
      <c r="AT74" s="7">
        <v>0</v>
      </c>
      <c r="AU74" s="7">
        <v>0</v>
      </c>
      <c r="AV74" s="7">
        <v>0</v>
      </c>
      <c r="AW74" s="7">
        <v>0</v>
      </c>
      <c r="AX74" s="7">
        <v>0</v>
      </c>
      <c r="BG74" s="8">
        <v>42445</v>
      </c>
      <c r="BH74" s="5">
        <v>9</v>
      </c>
      <c r="BI74" s="5">
        <v>495</v>
      </c>
      <c r="BJ74" s="5">
        <v>0</v>
      </c>
      <c r="BK74" s="5">
        <f>Tableau1[[#This Row],[Base de financement]]-Tableau1[[#This Row],[Subvention ANRU]]-Tableau1[[#This Row],[Ville]]-Tableau1[[#This Row],[Plaine Commune]]-Tableau1[[#This Row],[Bailleurs]]-Tableau1[[#This Row],[CDC]]-Tableau1[[#This Row],[CD93]]-Tableau1[[#This Row],[CRIF]]-Tableau1[[#This Row],[Europe]]-Tableau1[[#This Row],[Autres]]</f>
        <v>0</v>
      </c>
      <c r="BL74" s="412">
        <f>S74-T74-V74-W74-Y74-Z74-AA74-AB74-AC74-AD74-AE74-AF74-AG74-AH74-AI74-AJ74-AK74-AL74-AM74-AN74-AO74-AP74-AQ74-AR74-AS74-AT74-AU74-AV74-AW74-AY74-BE74-BF74-Tableau1[[#This Row],[Ville de Pantin ]]-Tableau1[[#This Row],[Est-Ensemble ]]-Tableau1[[#This Row],[ASGO]]</f>
        <v>0</v>
      </c>
    </row>
    <row r="75" spans="1:64" ht="20.100000000000001" hidden="1" customHeight="1" x14ac:dyDescent="0.25">
      <c r="A75" s="5" t="s">
        <v>245</v>
      </c>
      <c r="B75" s="5" t="s">
        <v>299</v>
      </c>
      <c r="C75" s="14" t="s">
        <v>1240</v>
      </c>
      <c r="D75" s="5" t="s">
        <v>247</v>
      </c>
      <c r="F75" s="5" t="s">
        <v>248</v>
      </c>
      <c r="H75" s="404" t="s">
        <v>300</v>
      </c>
      <c r="J75" s="5" t="s">
        <v>53</v>
      </c>
      <c r="K75" s="5" t="s">
        <v>47</v>
      </c>
      <c r="L75" s="5" t="s">
        <v>301</v>
      </c>
      <c r="O75" s="5" t="s">
        <v>42</v>
      </c>
      <c r="P75" s="5" t="s">
        <v>302</v>
      </c>
      <c r="Q75" s="227">
        <v>170000</v>
      </c>
      <c r="R75" s="7">
        <v>204000</v>
      </c>
      <c r="S75" s="7">
        <v>170000</v>
      </c>
      <c r="T75" s="7">
        <v>85000</v>
      </c>
      <c r="U75" s="7"/>
      <c r="V75" s="7">
        <v>85000</v>
      </c>
      <c r="W75" s="7">
        <v>0</v>
      </c>
      <c r="X75" s="7">
        <v>0</v>
      </c>
      <c r="Y75" s="7"/>
      <c r="Z75" s="7"/>
      <c r="AA75" s="7"/>
      <c r="AB75" s="7"/>
      <c r="AC75" s="7"/>
      <c r="AD75" s="7"/>
      <c r="AE75" s="7"/>
      <c r="AF75" s="7"/>
      <c r="AG75" s="7"/>
      <c r="AH75" s="7"/>
      <c r="AI75" s="7"/>
      <c r="AJ75" s="7"/>
      <c r="AK75" s="7"/>
      <c r="AL75" s="7"/>
      <c r="AM75" s="7"/>
      <c r="AN75" s="7"/>
      <c r="AO75" s="7"/>
      <c r="AP75" s="7"/>
      <c r="AQ75" s="7">
        <f>Tableau1[[#This Row],[Bailleurs]]</f>
        <v>0</v>
      </c>
      <c r="AR75" s="7"/>
      <c r="AS75" s="7"/>
      <c r="AT75" s="7">
        <v>0</v>
      </c>
      <c r="AU75" s="7">
        <v>0</v>
      </c>
      <c r="AV75" s="7">
        <v>0</v>
      </c>
      <c r="AW75" s="7">
        <v>0</v>
      </c>
      <c r="AX75" s="7">
        <v>0</v>
      </c>
      <c r="BG75" s="8">
        <v>42436</v>
      </c>
      <c r="BH75" s="5">
        <v>8</v>
      </c>
      <c r="BJ75" s="5">
        <v>0</v>
      </c>
      <c r="BK75" s="5">
        <f>Tableau1[[#This Row],[Base de financement]]-Tableau1[[#This Row],[Subvention ANRU]]-Tableau1[[#This Row],[Ville]]-Tableau1[[#This Row],[Plaine Commune]]-Tableau1[[#This Row],[Bailleurs]]-Tableau1[[#This Row],[CDC]]-Tableau1[[#This Row],[CD93]]-Tableau1[[#This Row],[CRIF]]-Tableau1[[#This Row],[Europe]]-Tableau1[[#This Row],[Autres]]</f>
        <v>0</v>
      </c>
      <c r="BL75" s="412">
        <f>S75-T75-V75-W75-Y75-Z75-AA75-AB75-AC75-AD75-AE75-AF75-AG75-AH75-AI75-AJ75-AK75-AL75-AM75-AN75-AO75-AP75-AQ75-AR75-AS75-AT75-AU75-AV75-AW75-AY75-BE75-BF75-Tableau1[[#This Row],[Ville de Pantin ]]-Tableau1[[#This Row],[Est-Ensemble ]]-Tableau1[[#This Row],[ASGO]]</f>
        <v>0</v>
      </c>
    </row>
    <row r="76" spans="1:64" ht="20.100000000000001" hidden="1" customHeight="1" x14ac:dyDescent="0.25">
      <c r="A76" s="5" t="s">
        <v>245</v>
      </c>
      <c r="B76" s="5" t="s">
        <v>757</v>
      </c>
      <c r="C76" s="14" t="s">
        <v>1241</v>
      </c>
      <c r="D76" s="5" t="s">
        <v>247</v>
      </c>
      <c r="F76" s="5" t="s">
        <v>248</v>
      </c>
      <c r="H76" s="404" t="s">
        <v>758</v>
      </c>
      <c r="J76" s="5" t="s">
        <v>68</v>
      </c>
      <c r="K76" s="5" t="s">
        <v>69</v>
      </c>
      <c r="L76" s="5" t="s">
        <v>285</v>
      </c>
      <c r="O76" s="5" t="s">
        <v>42</v>
      </c>
      <c r="P76" s="5" t="s">
        <v>759</v>
      </c>
      <c r="Q76" s="227">
        <v>6350</v>
      </c>
      <c r="R76" s="7">
        <v>7620</v>
      </c>
      <c r="S76" s="7">
        <v>6350</v>
      </c>
      <c r="T76" s="7">
        <v>3175</v>
      </c>
      <c r="U76" s="7"/>
      <c r="V76" s="7">
        <v>0</v>
      </c>
      <c r="W76" s="7">
        <v>0</v>
      </c>
      <c r="X76" s="7">
        <v>3175</v>
      </c>
      <c r="Y76" s="7"/>
      <c r="Z76" s="7"/>
      <c r="AA76" s="7"/>
      <c r="AB76" s="7"/>
      <c r="AC76" s="7"/>
      <c r="AD76" s="7"/>
      <c r="AE76" s="7"/>
      <c r="AF76" s="7"/>
      <c r="AG76" s="7"/>
      <c r="AH76" s="7"/>
      <c r="AI76" s="7"/>
      <c r="AJ76" s="7"/>
      <c r="AK76" s="7"/>
      <c r="AL76" s="7">
        <v>3175</v>
      </c>
      <c r="AM76" s="7"/>
      <c r="AN76" s="7"/>
      <c r="AO76" s="7"/>
      <c r="AP76" s="7"/>
      <c r="AQ76" s="7"/>
      <c r="AR76" s="7"/>
      <c r="AS76" s="7"/>
      <c r="AT76" s="7">
        <v>0</v>
      </c>
      <c r="AU76" s="7">
        <v>0</v>
      </c>
      <c r="AV76" s="7">
        <v>0</v>
      </c>
      <c r="AW76" s="7">
        <v>0</v>
      </c>
      <c r="AX76" s="7">
        <v>0</v>
      </c>
      <c r="BJ76" s="5"/>
      <c r="BK76" s="5">
        <f>Tableau1[[#This Row],[Base de financement]]-Tableau1[[#This Row],[Subvention ANRU]]-Tableau1[[#This Row],[Ville]]-Tableau1[[#This Row],[Plaine Commune]]-Tableau1[[#This Row],[Bailleurs]]-Tableau1[[#This Row],[CDC]]-Tableau1[[#This Row],[CD93]]-Tableau1[[#This Row],[CRIF]]-Tableau1[[#This Row],[Europe]]-Tableau1[[#This Row],[Autres]]</f>
        <v>0</v>
      </c>
      <c r="BL76" s="412">
        <f>S76-T76-V76-W76-Y76-Z76-AA76-AB76-AC76-AD76-AE76-AF76-AG76-AH76-AI76-AJ76-AK76-AL76-AM76-AN76-AO76-AP76-AQ76-AR76-AS76-AT76-AU76-AV76-AW76-AY76-BE76-BF76-Tableau1[[#This Row],[Ville de Pantin ]]-Tableau1[[#This Row],[Est-Ensemble ]]-Tableau1[[#This Row],[ASGO]]</f>
        <v>0</v>
      </c>
    </row>
    <row r="77" spans="1:64" ht="20.100000000000001" hidden="1" customHeight="1" x14ac:dyDescent="0.25">
      <c r="A77" s="5" t="s">
        <v>245</v>
      </c>
      <c r="B77" s="5" t="s">
        <v>308</v>
      </c>
      <c r="C77" s="14" t="s">
        <v>1242</v>
      </c>
      <c r="D77" s="5" t="s">
        <v>304</v>
      </c>
      <c r="F77" s="5" t="s">
        <v>305</v>
      </c>
      <c r="H77" s="404" t="s">
        <v>309</v>
      </c>
      <c r="J77" s="5" t="s">
        <v>113</v>
      </c>
      <c r="K77" s="5" t="s">
        <v>113</v>
      </c>
      <c r="L77" s="5" t="s">
        <v>310</v>
      </c>
      <c r="O77" s="5" t="s">
        <v>42</v>
      </c>
      <c r="P77" s="5" t="s">
        <v>311</v>
      </c>
      <c r="Q77" s="227">
        <v>30000</v>
      </c>
      <c r="R77" s="7">
        <v>36000</v>
      </c>
      <c r="S77" s="7">
        <v>30000</v>
      </c>
      <c r="T77" s="7">
        <v>15000</v>
      </c>
      <c r="U77" s="7"/>
      <c r="V77" s="7">
        <v>0</v>
      </c>
      <c r="W77" s="7">
        <v>0</v>
      </c>
      <c r="X77" s="7">
        <v>15000</v>
      </c>
      <c r="Y77" s="7"/>
      <c r="Z77" s="7"/>
      <c r="AA77" s="7"/>
      <c r="AB77" s="7"/>
      <c r="AC77" s="7"/>
      <c r="AD77" s="7"/>
      <c r="AE77" s="7"/>
      <c r="AF77" s="7"/>
      <c r="AG77" s="7"/>
      <c r="AH77" s="7"/>
      <c r="AI77" s="7"/>
      <c r="AJ77" s="7"/>
      <c r="AK77" s="7">
        <v>15000</v>
      </c>
      <c r="AL77" s="7"/>
      <c r="AM77" s="7"/>
      <c r="AN77" s="7"/>
      <c r="AO77" s="7"/>
      <c r="AP77" s="7"/>
      <c r="AQ77" s="7"/>
      <c r="AR77" s="7"/>
      <c r="AS77" s="7"/>
      <c r="AT77" s="7">
        <v>0</v>
      </c>
      <c r="AU77" s="7">
        <v>0</v>
      </c>
      <c r="AV77" s="7">
        <v>0</v>
      </c>
      <c r="AW77" s="7">
        <v>0</v>
      </c>
      <c r="AX77" s="7">
        <v>0</v>
      </c>
      <c r="BG77" s="8">
        <v>42445</v>
      </c>
      <c r="BI77" s="5">
        <v>587</v>
      </c>
      <c r="BJ77" s="5">
        <v>0</v>
      </c>
      <c r="BK77" s="5">
        <f>Tableau1[[#This Row],[Base de financement]]-Tableau1[[#This Row],[Subvention ANRU]]-Tableau1[[#This Row],[Ville]]-Tableau1[[#This Row],[Plaine Commune]]-Tableau1[[#This Row],[Bailleurs]]-Tableau1[[#This Row],[CDC]]-Tableau1[[#This Row],[CD93]]-Tableau1[[#This Row],[CRIF]]-Tableau1[[#This Row],[Europe]]-Tableau1[[#This Row],[Autres]]</f>
        <v>0</v>
      </c>
      <c r="BL77" s="412">
        <f>S77-T77-V77-W77-Y77-Z77-AA77-AB77-AC77-AD77-AE77-AF77-AG77-AH77-AI77-AJ77-AK77-AL77-AM77-AN77-AO77-AP77-AQ77-AR77-AS77-AT77-AU77-AV77-AW77-AY77-BE77-BF77-Tableau1[[#This Row],[Ville de Pantin ]]-Tableau1[[#This Row],[Est-Ensemble ]]-Tableau1[[#This Row],[ASGO]]</f>
        <v>0</v>
      </c>
    </row>
    <row r="78" spans="1:64" ht="20.100000000000001" hidden="1" customHeight="1" x14ac:dyDescent="0.25">
      <c r="A78" s="5" t="s">
        <v>245</v>
      </c>
      <c r="B78" s="5" t="s">
        <v>312</v>
      </c>
      <c r="C78" s="14" t="s">
        <v>1243</v>
      </c>
      <c r="D78" s="5" t="s">
        <v>304</v>
      </c>
      <c r="F78" s="5" t="s">
        <v>305</v>
      </c>
      <c r="H78" s="404" t="s">
        <v>313</v>
      </c>
      <c r="J78" s="5" t="s">
        <v>68</v>
      </c>
      <c r="K78" s="5" t="s">
        <v>69</v>
      </c>
      <c r="L78" s="5" t="s">
        <v>310</v>
      </c>
      <c r="O78" s="5" t="s">
        <v>42</v>
      </c>
      <c r="P78" s="5" t="s">
        <v>314</v>
      </c>
      <c r="Q78" s="227">
        <v>129996</v>
      </c>
      <c r="R78" s="7">
        <v>155995</v>
      </c>
      <c r="S78" s="7">
        <v>129996</v>
      </c>
      <c r="T78" s="7">
        <v>64998</v>
      </c>
      <c r="U78" s="7" t="s">
        <v>282</v>
      </c>
      <c r="V78" s="7">
        <v>0</v>
      </c>
      <c r="W78" s="7">
        <v>0</v>
      </c>
      <c r="X78" s="7">
        <v>64998</v>
      </c>
      <c r="Y78" s="7"/>
      <c r="Z78" s="7"/>
      <c r="AA78" s="7"/>
      <c r="AB78" s="7"/>
      <c r="AC78" s="7"/>
      <c r="AD78" s="7"/>
      <c r="AE78" s="7"/>
      <c r="AF78" s="7"/>
      <c r="AG78" s="7"/>
      <c r="AH78" s="7"/>
      <c r="AI78" s="7"/>
      <c r="AJ78" s="7"/>
      <c r="AK78" s="7">
        <v>64998</v>
      </c>
      <c r="AL78" s="7"/>
      <c r="AM78" s="7"/>
      <c r="AN78" s="7"/>
      <c r="AO78" s="7"/>
      <c r="AP78" s="7"/>
      <c r="AQ78" s="7"/>
      <c r="AR78" s="7"/>
      <c r="AS78" s="7"/>
      <c r="AT78" s="7">
        <v>0</v>
      </c>
      <c r="AU78" s="7">
        <v>0</v>
      </c>
      <c r="AV78" s="7">
        <v>0</v>
      </c>
      <c r="AW78" s="7">
        <v>0</v>
      </c>
      <c r="AX78" s="7">
        <v>0</v>
      </c>
      <c r="BG78" s="8">
        <v>42445</v>
      </c>
      <c r="BI78" s="5">
        <v>587</v>
      </c>
      <c r="BJ78" s="5">
        <v>0</v>
      </c>
      <c r="BK78" s="5">
        <f>Tableau1[[#This Row],[Base de financement]]-Tableau1[[#This Row],[Subvention ANRU]]-Tableau1[[#This Row],[Ville]]-Tableau1[[#This Row],[Plaine Commune]]-Tableau1[[#This Row],[Bailleurs]]-Tableau1[[#This Row],[CDC]]-Tableau1[[#This Row],[CD93]]-Tableau1[[#This Row],[CRIF]]-Tableau1[[#This Row],[Europe]]-Tableau1[[#This Row],[Autres]]</f>
        <v>0</v>
      </c>
      <c r="BL78" s="412">
        <f>S78-T78-V78-W78-Y78-Z78-AA78-AB78-AC78-AD78-AE78-AF78-AG78-AH78-AI78-AJ78-AK78-AL78-AM78-AN78-AO78-AP78-AQ78-AR78-AS78-AT78-AU78-AV78-AW78-AY78-BE78-BF78-Tableau1[[#This Row],[Ville de Pantin ]]-Tableau1[[#This Row],[Est-Ensemble ]]-Tableau1[[#This Row],[ASGO]]</f>
        <v>0</v>
      </c>
    </row>
    <row r="79" spans="1:64" ht="20.100000000000001" hidden="1" customHeight="1" x14ac:dyDescent="0.25">
      <c r="A79" s="5" t="s">
        <v>245</v>
      </c>
      <c r="B79" s="5" t="s">
        <v>315</v>
      </c>
      <c r="C79" s="14" t="s">
        <v>1244</v>
      </c>
      <c r="D79" s="5" t="s">
        <v>304</v>
      </c>
      <c r="F79" s="5" t="s">
        <v>305</v>
      </c>
      <c r="H79" s="404" t="s">
        <v>316</v>
      </c>
      <c r="J79" s="5" t="s">
        <v>68</v>
      </c>
      <c r="K79" s="5" t="s">
        <v>69</v>
      </c>
      <c r="L79" s="5" t="s">
        <v>317</v>
      </c>
      <c r="O79" s="5" t="s">
        <v>42</v>
      </c>
      <c r="P79" s="5" t="s">
        <v>318</v>
      </c>
      <c r="Q79" s="227">
        <v>65275</v>
      </c>
      <c r="R79" s="7">
        <v>78330</v>
      </c>
      <c r="S79" s="7">
        <v>65275</v>
      </c>
      <c r="T79" s="7">
        <v>19583</v>
      </c>
      <c r="U79" s="7" t="s">
        <v>282</v>
      </c>
      <c r="V79" s="7">
        <v>0</v>
      </c>
      <c r="W79" s="7">
        <v>0</v>
      </c>
      <c r="X79" s="7">
        <v>45692</v>
      </c>
      <c r="Y79" s="7"/>
      <c r="Z79" s="7"/>
      <c r="AA79" s="7"/>
      <c r="AB79" s="7"/>
      <c r="AC79" s="7"/>
      <c r="AD79" s="7"/>
      <c r="AE79" s="7"/>
      <c r="AF79" s="7"/>
      <c r="AG79" s="7"/>
      <c r="AH79" s="7"/>
      <c r="AI79" s="7"/>
      <c r="AJ79" s="7">
        <v>45692</v>
      </c>
      <c r="AK79" s="7"/>
      <c r="AL79" s="7"/>
      <c r="AM79" s="7"/>
      <c r="AN79" s="7"/>
      <c r="AO79" s="7"/>
      <c r="AP79" s="7"/>
      <c r="AQ79" s="7"/>
      <c r="AR79" s="7"/>
      <c r="AS79" s="7"/>
      <c r="AT79" s="7">
        <v>0</v>
      </c>
      <c r="AU79" s="7">
        <v>0</v>
      </c>
      <c r="AV79" s="7">
        <v>0</v>
      </c>
      <c r="AW79" s="7">
        <v>0</v>
      </c>
      <c r="AX79" s="7">
        <v>0</v>
      </c>
      <c r="BG79" s="8">
        <v>42445</v>
      </c>
      <c r="BI79" s="5">
        <v>175</v>
      </c>
      <c r="BJ79" s="5">
        <v>0</v>
      </c>
      <c r="BK79" s="5">
        <f>Tableau1[[#This Row],[Base de financement]]-Tableau1[[#This Row],[Subvention ANRU]]-Tableau1[[#This Row],[Ville]]-Tableau1[[#This Row],[Plaine Commune]]-Tableau1[[#This Row],[Bailleurs]]-Tableau1[[#This Row],[CDC]]-Tableau1[[#This Row],[CD93]]-Tableau1[[#This Row],[CRIF]]-Tableau1[[#This Row],[Europe]]-Tableau1[[#This Row],[Autres]]</f>
        <v>0</v>
      </c>
      <c r="BL79" s="412">
        <f>S79-T79-V79-W79-Y79-Z79-AA79-AB79-AC79-AD79-AE79-AF79-AG79-AH79-AI79-AJ79-AK79-AL79-AM79-AN79-AO79-AP79-AQ79-AR79-AS79-AT79-AU79-AV79-AW79-AY79-BE79-BF79-Tableau1[[#This Row],[Ville de Pantin ]]-Tableau1[[#This Row],[Est-Ensemble ]]-Tableau1[[#This Row],[ASGO]]</f>
        <v>0</v>
      </c>
    </row>
    <row r="80" spans="1:64" ht="20.100000000000001" hidden="1" customHeight="1" x14ac:dyDescent="0.25">
      <c r="A80" s="5" t="s">
        <v>245</v>
      </c>
      <c r="B80" s="5" t="s">
        <v>319</v>
      </c>
      <c r="C80" s="14" t="s">
        <v>1245</v>
      </c>
      <c r="D80" s="5" t="s">
        <v>304</v>
      </c>
      <c r="F80" s="5" t="s">
        <v>305</v>
      </c>
      <c r="H80" s="404" t="s">
        <v>320</v>
      </c>
      <c r="J80" s="5" t="s">
        <v>53</v>
      </c>
      <c r="K80" s="5" t="s">
        <v>61</v>
      </c>
      <c r="L80" s="5" t="s">
        <v>310</v>
      </c>
      <c r="O80" s="5" t="s">
        <v>42</v>
      </c>
      <c r="P80" s="5" t="s">
        <v>321</v>
      </c>
      <c r="Q80" s="227">
        <v>61400</v>
      </c>
      <c r="R80" s="7">
        <v>73680</v>
      </c>
      <c r="S80" s="7">
        <v>61400</v>
      </c>
      <c r="T80" s="7">
        <v>30700</v>
      </c>
      <c r="U80" s="7" t="s">
        <v>282</v>
      </c>
      <c r="V80" s="7">
        <v>0</v>
      </c>
      <c r="W80" s="7">
        <v>0</v>
      </c>
      <c r="X80" s="7">
        <v>30700</v>
      </c>
      <c r="Y80" s="7"/>
      <c r="Z80" s="7"/>
      <c r="AA80" s="7"/>
      <c r="AB80" s="7"/>
      <c r="AC80" s="7"/>
      <c r="AD80" s="7"/>
      <c r="AE80" s="7"/>
      <c r="AF80" s="7"/>
      <c r="AG80" s="7"/>
      <c r="AH80" s="7"/>
      <c r="AI80" s="7"/>
      <c r="AJ80" s="7"/>
      <c r="AK80" s="7">
        <v>30700</v>
      </c>
      <c r="AL80" s="7"/>
      <c r="AM80" s="7"/>
      <c r="AN80" s="7"/>
      <c r="AO80" s="7"/>
      <c r="AP80" s="7"/>
      <c r="AQ80" s="7"/>
      <c r="AR80" s="7"/>
      <c r="AS80" s="7"/>
      <c r="AT80" s="7">
        <v>0</v>
      </c>
      <c r="AU80" s="7">
        <v>0</v>
      </c>
      <c r="AV80" s="7">
        <v>0</v>
      </c>
      <c r="AW80" s="7">
        <v>0</v>
      </c>
      <c r="AX80" s="7">
        <v>0</v>
      </c>
      <c r="BG80" s="8">
        <v>42445</v>
      </c>
      <c r="BJ80" s="5">
        <v>0</v>
      </c>
      <c r="BK80" s="5">
        <f>Tableau1[[#This Row],[Base de financement]]-Tableau1[[#This Row],[Subvention ANRU]]-Tableau1[[#This Row],[Ville]]-Tableau1[[#This Row],[Plaine Commune]]-Tableau1[[#This Row],[Bailleurs]]-Tableau1[[#This Row],[CDC]]-Tableau1[[#This Row],[CD93]]-Tableau1[[#This Row],[CRIF]]-Tableau1[[#This Row],[Europe]]-Tableau1[[#This Row],[Autres]]</f>
        <v>0</v>
      </c>
      <c r="BL80" s="412">
        <f>S80-T80-V80-W80-Y80-Z80-AA80-AB80-AC80-AD80-AE80-AF80-AG80-AH80-AI80-AJ80-AK80-AL80-AM80-AN80-AO80-AP80-AQ80-AR80-AS80-AT80-AU80-AV80-AW80-AY80-BE80-BF80-Tableau1[[#This Row],[Ville de Pantin ]]-Tableau1[[#This Row],[Est-Ensemble ]]-Tableau1[[#This Row],[ASGO]]</f>
        <v>0</v>
      </c>
    </row>
    <row r="81" spans="1:64" ht="20.100000000000001" hidden="1" customHeight="1" x14ac:dyDescent="0.25">
      <c r="A81" s="5" t="s">
        <v>245</v>
      </c>
      <c r="B81" s="5" t="s">
        <v>322</v>
      </c>
      <c r="C81" s="14" t="s">
        <v>1246</v>
      </c>
      <c r="D81" s="5" t="s">
        <v>304</v>
      </c>
      <c r="F81" s="5" t="s">
        <v>305</v>
      </c>
      <c r="H81" s="404" t="s">
        <v>1394</v>
      </c>
      <c r="J81" s="5" t="s">
        <v>68</v>
      </c>
      <c r="K81" s="5" t="s">
        <v>69</v>
      </c>
      <c r="L81" s="5" t="s">
        <v>323</v>
      </c>
      <c r="O81" s="5" t="s">
        <v>42</v>
      </c>
      <c r="P81" s="5" t="s">
        <v>1395</v>
      </c>
      <c r="Q81" s="227">
        <v>90000</v>
      </c>
      <c r="R81" s="7">
        <v>108000</v>
      </c>
      <c r="S81" s="7">
        <v>90000</v>
      </c>
      <c r="T81" s="7">
        <v>45000</v>
      </c>
      <c r="U81" s="7"/>
      <c r="V81" s="7">
        <v>0</v>
      </c>
      <c r="W81" s="7">
        <v>0</v>
      </c>
      <c r="X81" s="7">
        <v>45000</v>
      </c>
      <c r="Y81" s="7"/>
      <c r="Z81" s="7"/>
      <c r="AA81" s="7"/>
      <c r="AB81" s="7"/>
      <c r="AC81" s="7"/>
      <c r="AD81" s="7"/>
      <c r="AE81" s="7"/>
      <c r="AF81" s="7"/>
      <c r="AG81" s="7"/>
      <c r="AH81" s="7"/>
      <c r="AI81" s="7">
        <v>45000</v>
      </c>
      <c r="AJ81" s="7"/>
      <c r="AK81" s="7"/>
      <c r="AL81" s="7"/>
      <c r="AM81" s="7"/>
      <c r="AN81" s="7"/>
      <c r="AO81" s="7"/>
      <c r="AP81" s="7"/>
      <c r="AQ81" s="7"/>
      <c r="AR81" s="7"/>
      <c r="AS81" s="7"/>
      <c r="AT81" s="7">
        <v>0</v>
      </c>
      <c r="AU81" s="7">
        <v>0</v>
      </c>
      <c r="AV81" s="7">
        <v>0</v>
      </c>
      <c r="AW81" s="7">
        <v>0</v>
      </c>
      <c r="AX81" s="7">
        <v>0</v>
      </c>
      <c r="BG81" s="8">
        <v>42445</v>
      </c>
      <c r="BH81" s="5">
        <v>10</v>
      </c>
      <c r="BI81" s="5">
        <v>285</v>
      </c>
      <c r="BJ81" s="5">
        <v>0</v>
      </c>
      <c r="BK81" s="5">
        <f>Tableau1[[#This Row],[Base de financement]]-Tableau1[[#This Row],[Subvention ANRU]]-Tableau1[[#This Row],[Ville]]-Tableau1[[#This Row],[Plaine Commune]]-Tableau1[[#This Row],[Bailleurs]]-Tableau1[[#This Row],[CDC]]-Tableau1[[#This Row],[CD93]]-Tableau1[[#This Row],[CRIF]]-Tableau1[[#This Row],[Europe]]-Tableau1[[#This Row],[Autres]]</f>
        <v>0</v>
      </c>
      <c r="BL81" s="412">
        <f>S81-T81-V81-W81-Y81-Z81-AA81-AB81-AC81-AD81-AE81-AF81-AG81-AH81-AI81-AJ81-AK81-AL81-AM81-AN81-AO81-AP81-AQ81-AR81-AS81-AT81-AU81-AV81-AW81-AY81-BE81-BF81-Tableau1[[#This Row],[Ville de Pantin ]]-Tableau1[[#This Row],[Est-Ensemble ]]-Tableau1[[#This Row],[ASGO]]</f>
        <v>0</v>
      </c>
    </row>
    <row r="82" spans="1:64" ht="20.100000000000001" hidden="1" customHeight="1" x14ac:dyDescent="0.25">
      <c r="A82" s="5" t="s">
        <v>245</v>
      </c>
      <c r="B82" s="5" t="s">
        <v>324</v>
      </c>
      <c r="C82" s="14" t="s">
        <v>1247</v>
      </c>
      <c r="D82" s="5" t="s">
        <v>304</v>
      </c>
      <c r="F82" s="5" t="s">
        <v>305</v>
      </c>
      <c r="H82" s="404" t="s">
        <v>325</v>
      </c>
      <c r="J82" s="5" t="s">
        <v>53</v>
      </c>
      <c r="K82" s="5" t="s">
        <v>47</v>
      </c>
      <c r="L82" s="5" t="s">
        <v>317</v>
      </c>
      <c r="O82" s="5" t="s">
        <v>42</v>
      </c>
      <c r="P82" s="5" t="s">
        <v>326</v>
      </c>
      <c r="Q82" s="227">
        <v>70000</v>
      </c>
      <c r="R82" s="7">
        <v>84000</v>
      </c>
      <c r="S82" s="7">
        <v>70000</v>
      </c>
      <c r="T82" s="7">
        <v>21000</v>
      </c>
      <c r="U82" s="7" t="s">
        <v>282</v>
      </c>
      <c r="V82" s="7">
        <v>0</v>
      </c>
      <c r="W82" s="7">
        <v>0</v>
      </c>
      <c r="X82" s="7">
        <v>49000</v>
      </c>
      <c r="Y82" s="7"/>
      <c r="Z82" s="7"/>
      <c r="AA82" s="7"/>
      <c r="AB82" s="7"/>
      <c r="AC82" s="7"/>
      <c r="AD82" s="7"/>
      <c r="AE82" s="7"/>
      <c r="AF82" s="7"/>
      <c r="AG82" s="7"/>
      <c r="AH82" s="7"/>
      <c r="AI82" s="7"/>
      <c r="AJ82" s="7">
        <v>49000</v>
      </c>
      <c r="AK82" s="7"/>
      <c r="AL82" s="7"/>
      <c r="AM82" s="7"/>
      <c r="AN82" s="7"/>
      <c r="AO82" s="7"/>
      <c r="AP82" s="7"/>
      <c r="AQ82" s="7"/>
      <c r="AR82" s="7"/>
      <c r="AS82" s="7"/>
      <c r="AT82" s="7">
        <v>0</v>
      </c>
      <c r="AU82" s="7">
        <v>0</v>
      </c>
      <c r="AV82" s="7">
        <v>0</v>
      </c>
      <c r="AW82" s="7">
        <v>0</v>
      </c>
      <c r="AX82" s="7">
        <v>0</v>
      </c>
      <c r="BG82" s="8">
        <v>42445</v>
      </c>
      <c r="BJ82" s="5">
        <v>0</v>
      </c>
      <c r="BK82" s="5">
        <f>Tableau1[[#This Row],[Base de financement]]-Tableau1[[#This Row],[Subvention ANRU]]-Tableau1[[#This Row],[Ville]]-Tableau1[[#This Row],[Plaine Commune]]-Tableau1[[#This Row],[Bailleurs]]-Tableau1[[#This Row],[CDC]]-Tableau1[[#This Row],[CD93]]-Tableau1[[#This Row],[CRIF]]-Tableau1[[#This Row],[Europe]]-Tableau1[[#This Row],[Autres]]</f>
        <v>0</v>
      </c>
      <c r="BL82" s="412">
        <f>S82-T82-V82-W82-Y82-Z82-AA82-AB82-AC82-AD82-AE82-AF82-AG82-AH82-AI82-AJ82-AK82-AL82-AM82-AN82-AO82-AP82-AQ82-AR82-AS82-AT82-AU82-AV82-AW82-AY82-BE82-BF82-Tableau1[[#This Row],[Ville de Pantin ]]-Tableau1[[#This Row],[Est-Ensemble ]]-Tableau1[[#This Row],[ASGO]]</f>
        <v>0</v>
      </c>
    </row>
    <row r="83" spans="1:64" ht="20.100000000000001" hidden="1" customHeight="1" x14ac:dyDescent="0.25">
      <c r="A83" s="5" t="s">
        <v>245</v>
      </c>
      <c r="B83" s="5" t="s">
        <v>327</v>
      </c>
      <c r="C83" s="14" t="s">
        <v>1248</v>
      </c>
      <c r="D83" s="5" t="s">
        <v>304</v>
      </c>
      <c r="F83" s="5" t="s">
        <v>305</v>
      </c>
      <c r="H83" s="404" t="s">
        <v>328</v>
      </c>
      <c r="J83" s="5" t="s">
        <v>68</v>
      </c>
      <c r="K83" s="5" t="s">
        <v>69</v>
      </c>
      <c r="L83" s="5" t="s">
        <v>317</v>
      </c>
      <c r="O83" s="5" t="s">
        <v>42</v>
      </c>
      <c r="P83" s="5" t="s">
        <v>329</v>
      </c>
      <c r="Q83" s="227">
        <v>7000</v>
      </c>
      <c r="R83" s="7">
        <v>8400</v>
      </c>
      <c r="S83" s="7">
        <v>7000</v>
      </c>
      <c r="T83" s="7">
        <v>2100</v>
      </c>
      <c r="U83" s="7"/>
      <c r="V83" s="7">
        <v>0</v>
      </c>
      <c r="W83" s="7">
        <v>0</v>
      </c>
      <c r="X83" s="7">
        <v>4900</v>
      </c>
      <c r="Y83" s="7"/>
      <c r="Z83" s="7"/>
      <c r="AA83" s="7"/>
      <c r="AB83" s="7"/>
      <c r="AC83" s="7"/>
      <c r="AD83" s="7"/>
      <c r="AE83" s="7"/>
      <c r="AF83" s="7"/>
      <c r="AG83" s="7"/>
      <c r="AH83" s="7"/>
      <c r="AI83" s="7"/>
      <c r="AJ83" s="7">
        <v>4900</v>
      </c>
      <c r="AK83" s="7"/>
      <c r="AL83" s="7"/>
      <c r="AM83" s="7"/>
      <c r="AN83" s="7"/>
      <c r="AO83" s="7"/>
      <c r="AP83" s="7"/>
      <c r="AQ83" s="7"/>
      <c r="AR83" s="7"/>
      <c r="AS83" s="7"/>
      <c r="AT83" s="7">
        <v>0</v>
      </c>
      <c r="AU83" s="7">
        <v>0</v>
      </c>
      <c r="AV83" s="7">
        <v>0</v>
      </c>
      <c r="AW83" s="7">
        <v>0</v>
      </c>
      <c r="AX83" s="7">
        <v>0</v>
      </c>
      <c r="BG83" s="8">
        <v>42445</v>
      </c>
      <c r="BH83" s="5">
        <v>9</v>
      </c>
      <c r="BI83" s="5">
        <v>175</v>
      </c>
      <c r="BJ83" s="5">
        <v>0</v>
      </c>
      <c r="BK83" s="5">
        <f>Tableau1[[#This Row],[Base de financement]]-Tableau1[[#This Row],[Subvention ANRU]]-Tableau1[[#This Row],[Ville]]-Tableau1[[#This Row],[Plaine Commune]]-Tableau1[[#This Row],[Bailleurs]]-Tableau1[[#This Row],[CDC]]-Tableau1[[#This Row],[CD93]]-Tableau1[[#This Row],[CRIF]]-Tableau1[[#This Row],[Europe]]-Tableau1[[#This Row],[Autres]]</f>
        <v>0</v>
      </c>
      <c r="BL83" s="412">
        <f>S83-T83-V83-W83-Y83-Z83-AA83-AB83-AC83-AD83-AE83-AF83-AG83-AH83-AI83-AJ83-AK83-AL83-AM83-AN83-AO83-AP83-AQ83-AR83-AS83-AT83-AU83-AV83-AW83-AY83-BE83-BF83-Tableau1[[#This Row],[Ville de Pantin ]]-Tableau1[[#This Row],[Est-Ensemble ]]-Tableau1[[#This Row],[ASGO]]</f>
        <v>0</v>
      </c>
    </row>
    <row r="84" spans="1:64" ht="20.100000000000001" hidden="1" customHeight="1" x14ac:dyDescent="0.25">
      <c r="A84" s="5" t="s">
        <v>245</v>
      </c>
      <c r="B84" s="5" t="s">
        <v>330</v>
      </c>
      <c r="C84" s="14" t="s">
        <v>1249</v>
      </c>
      <c r="D84" s="5" t="s">
        <v>304</v>
      </c>
      <c r="F84" s="5" t="s">
        <v>305</v>
      </c>
      <c r="H84" s="404" t="s">
        <v>328</v>
      </c>
      <c r="J84" s="5" t="s">
        <v>68</v>
      </c>
      <c r="K84" s="5" t="s">
        <v>69</v>
      </c>
      <c r="L84" s="5" t="s">
        <v>310</v>
      </c>
      <c r="O84" s="5" t="s">
        <v>42</v>
      </c>
      <c r="P84" s="5" t="s">
        <v>331</v>
      </c>
      <c r="Q84" s="227">
        <v>30000</v>
      </c>
      <c r="R84" s="7">
        <v>36000</v>
      </c>
      <c r="S84" s="7">
        <v>30000</v>
      </c>
      <c r="T84" s="7">
        <v>15000</v>
      </c>
      <c r="U84" s="7"/>
      <c r="V84" s="7">
        <v>0</v>
      </c>
      <c r="W84" s="7">
        <v>0</v>
      </c>
      <c r="X84" s="7">
        <v>15000</v>
      </c>
      <c r="Y84" s="7"/>
      <c r="Z84" s="7"/>
      <c r="AA84" s="7"/>
      <c r="AB84" s="7"/>
      <c r="AC84" s="7"/>
      <c r="AD84" s="7"/>
      <c r="AE84" s="7"/>
      <c r="AF84" s="7"/>
      <c r="AG84" s="7"/>
      <c r="AH84" s="7"/>
      <c r="AI84" s="7"/>
      <c r="AJ84" s="7"/>
      <c r="AK84" s="7">
        <v>15000</v>
      </c>
      <c r="AL84" s="7"/>
      <c r="AM84" s="7"/>
      <c r="AN84" s="7"/>
      <c r="AO84" s="7"/>
      <c r="AP84" s="7"/>
      <c r="AQ84" s="7"/>
      <c r="AR84" s="7"/>
      <c r="AS84" s="7"/>
      <c r="AT84" s="7">
        <v>0</v>
      </c>
      <c r="AU84" s="7">
        <v>0</v>
      </c>
      <c r="AV84" s="7">
        <v>0</v>
      </c>
      <c r="AW84" s="7">
        <v>0</v>
      </c>
      <c r="AX84" s="7">
        <v>0</v>
      </c>
      <c r="BG84" s="8">
        <v>42445</v>
      </c>
      <c r="BH84" s="5">
        <v>9</v>
      </c>
      <c r="BI84" s="5">
        <v>587</v>
      </c>
      <c r="BJ84" s="5">
        <v>0</v>
      </c>
      <c r="BK84" s="5">
        <f>Tableau1[[#This Row],[Base de financement]]-Tableau1[[#This Row],[Subvention ANRU]]-Tableau1[[#This Row],[Ville]]-Tableau1[[#This Row],[Plaine Commune]]-Tableau1[[#This Row],[Bailleurs]]-Tableau1[[#This Row],[CDC]]-Tableau1[[#This Row],[CD93]]-Tableau1[[#This Row],[CRIF]]-Tableau1[[#This Row],[Europe]]-Tableau1[[#This Row],[Autres]]</f>
        <v>0</v>
      </c>
      <c r="BL84" s="412">
        <f>S84-T84-V84-W84-Y84-Z84-AA84-AB84-AC84-AD84-AE84-AF84-AG84-AH84-AI84-AJ84-AK84-AL84-AM84-AN84-AO84-AP84-AQ84-AR84-AS84-AT84-AU84-AV84-AW84-AY84-BE84-BF84-Tableau1[[#This Row],[Ville de Pantin ]]-Tableau1[[#This Row],[Est-Ensemble ]]-Tableau1[[#This Row],[ASGO]]</f>
        <v>0</v>
      </c>
    </row>
    <row r="85" spans="1:64" ht="20.100000000000001" hidden="1" customHeight="1" x14ac:dyDescent="0.25">
      <c r="A85" s="5" t="s">
        <v>245</v>
      </c>
      <c r="B85" s="5" t="s">
        <v>455</v>
      </c>
      <c r="C85" s="14" t="s">
        <v>1250</v>
      </c>
      <c r="D85" s="5" t="s">
        <v>304</v>
      </c>
      <c r="E85" s="5" t="s">
        <v>456</v>
      </c>
      <c r="H85" s="404" t="s">
        <v>457</v>
      </c>
      <c r="I85" s="5" t="s">
        <v>458</v>
      </c>
      <c r="J85" s="5" t="s">
        <v>68</v>
      </c>
      <c r="K85" s="5" t="s">
        <v>69</v>
      </c>
      <c r="L85" s="5" t="s">
        <v>456</v>
      </c>
      <c r="O85" s="5" t="s">
        <v>42</v>
      </c>
      <c r="P85" s="5" t="s">
        <v>459</v>
      </c>
      <c r="Q85" s="227">
        <v>11616</v>
      </c>
      <c r="R85" s="7">
        <v>13939</v>
      </c>
      <c r="S85" s="7">
        <v>11616</v>
      </c>
      <c r="T85" s="7">
        <v>5808</v>
      </c>
      <c r="U85" s="7"/>
      <c r="V85" s="7">
        <v>0</v>
      </c>
      <c r="W85" s="7">
        <v>0</v>
      </c>
      <c r="X85" s="7">
        <v>5808</v>
      </c>
      <c r="Y85" s="7"/>
      <c r="Z85" s="7"/>
      <c r="AA85" s="7"/>
      <c r="AB85" s="7"/>
      <c r="AC85" s="7"/>
      <c r="AD85" s="7"/>
      <c r="AE85" s="7"/>
      <c r="AF85" s="7"/>
      <c r="AG85" s="7"/>
      <c r="AH85" s="7">
        <v>5808</v>
      </c>
      <c r="AI85" s="7"/>
      <c r="AJ85" s="7"/>
      <c r="AK85" s="7"/>
      <c r="AL85" s="7"/>
      <c r="AM85" s="7"/>
      <c r="AN85" s="7"/>
      <c r="AO85" s="7"/>
      <c r="AP85" s="7"/>
      <c r="AQ85" s="7"/>
      <c r="AR85" s="7"/>
      <c r="AS85" s="7"/>
      <c r="AT85" s="7">
        <v>0</v>
      </c>
      <c r="AU85" s="7">
        <v>0</v>
      </c>
      <c r="AV85" s="7">
        <v>0</v>
      </c>
      <c r="AW85" s="7">
        <v>0</v>
      </c>
      <c r="AX85" s="7">
        <v>0</v>
      </c>
      <c r="BG85" s="8">
        <v>42445</v>
      </c>
      <c r="BH85" s="5">
        <v>6</v>
      </c>
      <c r="BI85" s="5">
        <v>96</v>
      </c>
      <c r="BJ85" s="5">
        <v>0</v>
      </c>
      <c r="BK85" s="5">
        <f>Tableau1[[#This Row],[Base de financement]]-Tableau1[[#This Row],[Subvention ANRU]]-Tableau1[[#This Row],[Ville]]-Tableau1[[#This Row],[Plaine Commune]]-Tableau1[[#This Row],[Bailleurs]]-Tableau1[[#This Row],[CDC]]-Tableau1[[#This Row],[CD93]]-Tableau1[[#This Row],[CRIF]]-Tableau1[[#This Row],[Europe]]-Tableau1[[#This Row],[Autres]]</f>
        <v>0</v>
      </c>
      <c r="BL85" s="412">
        <f>S85-T85-V85-W85-Y85-Z85-AA85-AB85-AC85-AD85-AE85-AF85-AG85-AH85-AI85-AJ85-AK85-AL85-AM85-AN85-AO85-AP85-AQ85-AR85-AS85-AT85-AU85-AV85-AW85-AY85-BE85-BF85-Tableau1[[#This Row],[Ville de Pantin ]]-Tableau1[[#This Row],[Est-Ensemble ]]-Tableau1[[#This Row],[ASGO]]</f>
        <v>0</v>
      </c>
    </row>
    <row r="86" spans="1:64" ht="20.100000000000001" hidden="1" customHeight="1" x14ac:dyDescent="0.25">
      <c r="A86" s="5" t="s">
        <v>245</v>
      </c>
      <c r="B86" s="5" t="s">
        <v>750</v>
      </c>
      <c r="C86" s="14" t="s">
        <v>1251</v>
      </c>
      <c r="D86" s="5" t="s">
        <v>304</v>
      </c>
      <c r="E86" s="5" t="s">
        <v>456</v>
      </c>
      <c r="H86" s="404" t="s">
        <v>751</v>
      </c>
      <c r="I86" s="5" t="s">
        <v>720</v>
      </c>
      <c r="J86" s="5" t="s">
        <v>53</v>
      </c>
      <c r="K86" s="5" t="s">
        <v>69</v>
      </c>
      <c r="L86" s="5" t="s">
        <v>456</v>
      </c>
      <c r="O86" s="5" t="s">
        <v>42</v>
      </c>
      <c r="P86" s="5" t="s">
        <v>376</v>
      </c>
      <c r="Q86" s="227">
        <v>36931</v>
      </c>
      <c r="R86" s="7">
        <v>44317</v>
      </c>
      <c r="S86" s="7">
        <v>36931</v>
      </c>
      <c r="T86" s="7">
        <v>18466</v>
      </c>
      <c r="U86" s="7"/>
      <c r="V86" s="7">
        <v>0</v>
      </c>
      <c r="W86" s="7">
        <v>0</v>
      </c>
      <c r="X86" s="7">
        <v>18466</v>
      </c>
      <c r="Y86" s="7"/>
      <c r="Z86" s="7"/>
      <c r="AA86" s="7"/>
      <c r="AB86" s="7"/>
      <c r="AC86" s="7"/>
      <c r="AD86" s="7"/>
      <c r="AE86" s="7"/>
      <c r="AF86" s="7"/>
      <c r="AG86" s="7"/>
      <c r="AH86" s="7">
        <v>18466</v>
      </c>
      <c r="AI86" s="7"/>
      <c r="AJ86" s="7"/>
      <c r="AK86" s="7"/>
      <c r="AL86" s="7"/>
      <c r="AM86" s="7"/>
      <c r="AN86" s="7"/>
      <c r="AO86" s="7"/>
      <c r="AP86" s="7"/>
      <c r="AQ86" s="7"/>
      <c r="AR86" s="7"/>
      <c r="AS86" s="7"/>
      <c r="AT86" s="7">
        <v>0</v>
      </c>
      <c r="AU86" s="7">
        <v>0</v>
      </c>
      <c r="AV86" s="7">
        <v>0</v>
      </c>
      <c r="AW86" s="7">
        <v>0</v>
      </c>
      <c r="AX86" s="7">
        <v>0</v>
      </c>
      <c r="BG86" s="8">
        <v>42445</v>
      </c>
      <c r="BH86" s="5">
        <v>8</v>
      </c>
      <c r="BI86" s="5">
        <v>96</v>
      </c>
      <c r="BJ86" s="5">
        <v>0</v>
      </c>
      <c r="BK86" s="5">
        <f>Tableau1[[#This Row],[Base de financement]]-Tableau1[[#This Row],[Subvention ANRU]]-Tableau1[[#This Row],[Ville]]-Tableau1[[#This Row],[Plaine Commune]]-Tableau1[[#This Row],[Bailleurs]]-Tableau1[[#This Row],[CDC]]-Tableau1[[#This Row],[CD93]]-Tableau1[[#This Row],[CRIF]]-Tableau1[[#This Row],[Europe]]-Tableau1[[#This Row],[Autres]]</f>
        <v>-1</v>
      </c>
      <c r="BL86" s="412">
        <f>S86-T86-V86-W86-Y86-Z86-AA86-AB86-AC86-AD86-AE86-AF86-AG86-AH86-AI86-AJ86-AK86-AL86-AM86-AN86-AO86-AP86-AQ86-AR86-AS86-AT86-AU86-AV86-AW86-AY86-BE86-BF86-Tableau1[[#This Row],[Ville de Pantin ]]-Tableau1[[#This Row],[Est-Ensemble ]]-Tableau1[[#This Row],[ASGO]]</f>
        <v>-1</v>
      </c>
    </row>
    <row r="87" spans="1:64" ht="20.100000000000001" customHeight="1" x14ac:dyDescent="0.25">
      <c r="A87" s="5" t="s">
        <v>245</v>
      </c>
      <c r="B87" s="5" t="s">
        <v>246</v>
      </c>
      <c r="C87" s="14" t="s">
        <v>1226</v>
      </c>
      <c r="D87" s="14" t="s">
        <v>1023</v>
      </c>
      <c r="E87" s="5" t="s">
        <v>36</v>
      </c>
      <c r="F87" s="5" t="s">
        <v>248</v>
      </c>
      <c r="G87" s="5" t="s">
        <v>249</v>
      </c>
      <c r="H87" s="404" t="s">
        <v>250</v>
      </c>
      <c r="I87" s="5" t="s">
        <v>251</v>
      </c>
      <c r="J87" s="5" t="s">
        <v>40</v>
      </c>
      <c r="K87" s="5" t="s">
        <v>41</v>
      </c>
      <c r="L87" s="5" t="s">
        <v>22</v>
      </c>
      <c r="O87" s="5" t="s">
        <v>42</v>
      </c>
      <c r="P87" s="5" t="s">
        <v>252</v>
      </c>
      <c r="Q87" s="227">
        <v>250000</v>
      </c>
      <c r="R87" s="7">
        <v>300000</v>
      </c>
      <c r="S87" s="7">
        <v>250000</v>
      </c>
      <c r="T87" s="7">
        <v>125000</v>
      </c>
      <c r="U87" s="7" t="s">
        <v>253</v>
      </c>
      <c r="V87" s="7">
        <v>0</v>
      </c>
      <c r="W87" s="7">
        <v>62500</v>
      </c>
      <c r="X87" s="227">
        <v>62500</v>
      </c>
      <c r="Y87" s="7">
        <v>38913</v>
      </c>
      <c r="Z87" s="7"/>
      <c r="AA87" s="7"/>
      <c r="AB87" s="7"/>
      <c r="AC87" s="7"/>
      <c r="AD87" s="7"/>
      <c r="AE87" s="7"/>
      <c r="AF87" s="7"/>
      <c r="AG87" s="7"/>
      <c r="AH87" s="7"/>
      <c r="AI87" s="7"/>
      <c r="AJ87" s="7"/>
      <c r="AK87" s="7"/>
      <c r="AL87" s="7">
        <v>3146</v>
      </c>
      <c r="AM87" s="7">
        <v>8700</v>
      </c>
      <c r="AN87" s="7"/>
      <c r="AO87" s="7">
        <v>7101</v>
      </c>
      <c r="AP87" s="7">
        <v>4640</v>
      </c>
      <c r="AQ87" s="7"/>
      <c r="AR87" s="7"/>
      <c r="AS87" s="7"/>
      <c r="AT87" s="7">
        <v>0</v>
      </c>
      <c r="AU87" s="7">
        <v>0</v>
      </c>
      <c r="AV87" s="7">
        <v>0</v>
      </c>
      <c r="AW87" s="7">
        <v>0</v>
      </c>
      <c r="AX87" s="7">
        <v>0</v>
      </c>
      <c r="BG87" s="8">
        <v>42462</v>
      </c>
      <c r="BH87" s="5">
        <v>18</v>
      </c>
      <c r="BJ87" s="5">
        <v>0</v>
      </c>
      <c r="BK87" s="5">
        <f>Tableau1[[#This Row],[Base de financement]]-Tableau1[[#This Row],[Subvention ANRU]]-Tableau1[[#This Row],[Ville]]-Tableau1[[#This Row],[Plaine Commune]]-Tableau1[[#This Row],[Bailleurs]]-Tableau1[[#This Row],[CDC]]-Tableau1[[#This Row],[CD93]]-Tableau1[[#This Row],[CRIF]]-Tableau1[[#This Row],[Europe]]-Tableau1[[#This Row],[Autres]]</f>
        <v>0</v>
      </c>
      <c r="BL87" s="412">
        <f>S87-T87-V87-W87-Y87-Z87-AA87-AB87-AC87-AD87-AE87-AF87-AG87-AH87-AI87-AJ87-AK87-AL87-AM87-AN87-AO87-AP87-AQ87-AR87-AS87-AT87-AU87-AV87-AW87-AY87-BE87-BF87-Tableau1[[#This Row],[Ville de Pantin ]]-Tableau1[[#This Row],[Est-Ensemble ]]-Tableau1[[#This Row],[ASGO]]</f>
        <v>0</v>
      </c>
    </row>
    <row r="88" spans="1:64" ht="20.100000000000001" customHeight="1" x14ac:dyDescent="0.25">
      <c r="A88" s="5" t="s">
        <v>245</v>
      </c>
      <c r="B88" s="5" t="s">
        <v>303</v>
      </c>
      <c r="C88" s="14" t="s">
        <v>1226</v>
      </c>
      <c r="D88" s="14" t="s">
        <v>1023</v>
      </c>
      <c r="E88" s="5" t="s">
        <v>36</v>
      </c>
      <c r="F88" s="5" t="s">
        <v>305</v>
      </c>
      <c r="G88" s="5" t="s">
        <v>249</v>
      </c>
      <c r="H88" s="404" t="s">
        <v>306</v>
      </c>
      <c r="I88" s="5" t="s">
        <v>251</v>
      </c>
      <c r="J88" s="5" t="s">
        <v>40</v>
      </c>
      <c r="K88" s="5" t="s">
        <v>41</v>
      </c>
      <c r="L88" s="5" t="s">
        <v>22</v>
      </c>
      <c r="O88" s="5" t="s">
        <v>42</v>
      </c>
      <c r="P88" s="5" t="s">
        <v>307</v>
      </c>
      <c r="Q88" s="227">
        <v>150000</v>
      </c>
      <c r="R88" s="7">
        <v>180000</v>
      </c>
      <c r="S88" s="7">
        <v>150000</v>
      </c>
      <c r="T88" s="7">
        <v>75000</v>
      </c>
      <c r="U88" s="7" t="s">
        <v>253</v>
      </c>
      <c r="V88" s="7">
        <v>0</v>
      </c>
      <c r="W88" s="7">
        <v>37500</v>
      </c>
      <c r="X88" s="227">
        <v>37500</v>
      </c>
      <c r="Y88" s="7"/>
      <c r="Z88" s="7"/>
      <c r="AA88" s="7"/>
      <c r="AB88" s="7"/>
      <c r="AC88" s="7"/>
      <c r="AD88" s="7"/>
      <c r="AE88" s="7"/>
      <c r="AF88" s="7"/>
      <c r="AG88" s="7"/>
      <c r="AH88" s="7">
        <v>3150</v>
      </c>
      <c r="AI88" s="7">
        <v>9350</v>
      </c>
      <c r="AJ88" s="7">
        <v>5741</v>
      </c>
      <c r="AK88" s="7">
        <v>19259</v>
      </c>
      <c r="AL88" s="7"/>
      <c r="AM88" s="7"/>
      <c r="AN88" s="7"/>
      <c r="AO88" s="7"/>
      <c r="AP88" s="7"/>
      <c r="AQ88" s="7"/>
      <c r="AR88" s="7"/>
      <c r="AS88" s="7"/>
      <c r="AT88" s="7">
        <v>0</v>
      </c>
      <c r="AU88" s="7">
        <v>0</v>
      </c>
      <c r="AV88" s="7">
        <v>0</v>
      </c>
      <c r="AW88" s="7">
        <v>0</v>
      </c>
      <c r="AX88" s="7">
        <v>0</v>
      </c>
      <c r="BG88" s="8">
        <v>42461</v>
      </c>
      <c r="BH88" s="5">
        <v>12</v>
      </c>
      <c r="BJ88" s="5">
        <v>0</v>
      </c>
      <c r="BK88" s="5">
        <f>Tableau1[[#This Row],[Base de financement]]-Tableau1[[#This Row],[Subvention ANRU]]-Tableau1[[#This Row],[Ville]]-Tableau1[[#This Row],[Plaine Commune]]-Tableau1[[#This Row],[Bailleurs]]-Tableau1[[#This Row],[CDC]]-Tableau1[[#This Row],[CD93]]-Tableau1[[#This Row],[CRIF]]-Tableau1[[#This Row],[Europe]]-Tableau1[[#This Row],[Autres]]</f>
        <v>0</v>
      </c>
      <c r="BL88" s="412">
        <f>S88-T88-V88-W88-Y88-Z88-AA88-AB88-AC88-AD88-AE88-AF88-AG88-AH88-AI88-AJ88-AK88-AL88-AM88-AN88-AO88-AP88-AQ88-AR88-AS88-AT88-AU88-AV88-AW88-AY88-BE88-BF88-Tableau1[[#This Row],[Ville de Pantin ]]-Tableau1[[#This Row],[Est-Ensemble ]]-Tableau1[[#This Row],[ASGO]]</f>
        <v>0</v>
      </c>
    </row>
    <row r="89" spans="1:64" ht="20.100000000000001" hidden="1" customHeight="1" x14ac:dyDescent="0.25">
      <c r="A89" s="5" t="s">
        <v>245</v>
      </c>
      <c r="B89" s="5" t="s">
        <v>335</v>
      </c>
      <c r="C89" s="14" t="s">
        <v>1227</v>
      </c>
      <c r="D89" s="5" t="s">
        <v>1023</v>
      </c>
      <c r="H89" s="404" t="s">
        <v>336</v>
      </c>
      <c r="J89" s="5" t="s">
        <v>113</v>
      </c>
      <c r="K89" s="5" t="s">
        <v>113</v>
      </c>
      <c r="L89" s="5" t="s">
        <v>301</v>
      </c>
      <c r="O89" s="5" t="s">
        <v>42</v>
      </c>
      <c r="P89" s="5" t="s">
        <v>337</v>
      </c>
      <c r="Q89" s="227">
        <v>150000</v>
      </c>
      <c r="R89" s="7">
        <v>180000</v>
      </c>
      <c r="S89" s="7">
        <v>150000</v>
      </c>
      <c r="T89" s="7">
        <v>75000</v>
      </c>
      <c r="U89" s="7"/>
      <c r="V89" s="7">
        <v>75000</v>
      </c>
      <c r="W89" s="7">
        <v>0</v>
      </c>
      <c r="X89" s="7">
        <v>0</v>
      </c>
      <c r="Y89" s="7"/>
      <c r="Z89" s="7"/>
      <c r="AA89" s="7"/>
      <c r="AB89" s="7"/>
      <c r="AC89" s="7"/>
      <c r="AD89" s="7"/>
      <c r="AE89" s="7"/>
      <c r="AF89" s="7"/>
      <c r="AG89" s="7"/>
      <c r="AH89" s="7"/>
      <c r="AI89" s="7"/>
      <c r="AJ89" s="7"/>
      <c r="AK89" s="7"/>
      <c r="AL89" s="7"/>
      <c r="AM89" s="7"/>
      <c r="AN89" s="7"/>
      <c r="AO89" s="7"/>
      <c r="AP89" s="7"/>
      <c r="AQ89" s="7"/>
      <c r="AR89" s="7"/>
      <c r="AS89" s="7"/>
      <c r="AT89" s="7">
        <v>0</v>
      </c>
      <c r="AU89" s="7">
        <v>0</v>
      </c>
      <c r="AV89" s="7">
        <v>0</v>
      </c>
      <c r="AW89" s="7">
        <v>0</v>
      </c>
      <c r="AX89" s="7">
        <v>0</v>
      </c>
      <c r="BG89" s="8">
        <v>42436</v>
      </c>
      <c r="BH89" s="5">
        <v>24</v>
      </c>
      <c r="BJ89" s="5">
        <v>0</v>
      </c>
      <c r="BK89" s="5">
        <f>Tableau1[[#This Row],[Base de financement]]-Tableau1[[#This Row],[Subvention ANRU]]-Tableau1[[#This Row],[Ville]]-Tableau1[[#This Row],[Plaine Commune]]-Tableau1[[#This Row],[Bailleurs]]-Tableau1[[#This Row],[CDC]]-Tableau1[[#This Row],[CD93]]-Tableau1[[#This Row],[CRIF]]-Tableau1[[#This Row],[Europe]]-Tableau1[[#This Row],[Autres]]</f>
        <v>0</v>
      </c>
      <c r="BL89" s="412">
        <f>S89-T89-V89-W89-Y89-Z89-AA89-AB89-AC89-AD89-AE89-AF89-AG89-AH89-AI89-AJ89-AK89-AL89-AM89-AN89-AO89-AP89-AQ89-AR89-AS89-AT89-AU89-AV89-AW89-AY89-BE89-BF89-Tableau1[[#This Row],[Ville de Pantin ]]-Tableau1[[#This Row],[Est-Ensemble ]]-Tableau1[[#This Row],[ASGO]]</f>
        <v>0</v>
      </c>
    </row>
    <row r="90" spans="1:64" ht="20.100000000000001" hidden="1" customHeight="1" x14ac:dyDescent="0.25">
      <c r="A90" s="5" t="s">
        <v>245</v>
      </c>
      <c r="B90" s="5" t="s">
        <v>332</v>
      </c>
      <c r="C90" s="14" t="s">
        <v>1228</v>
      </c>
      <c r="D90" s="5" t="s">
        <v>1023</v>
      </c>
      <c r="H90" s="404" t="s">
        <v>333</v>
      </c>
      <c r="J90" s="5" t="s">
        <v>113</v>
      </c>
      <c r="K90" s="5" t="s">
        <v>113</v>
      </c>
      <c r="L90" s="5" t="s">
        <v>301</v>
      </c>
      <c r="O90" s="5" t="s">
        <v>42</v>
      </c>
      <c r="P90" s="5" t="s">
        <v>334</v>
      </c>
      <c r="Q90" s="227">
        <v>160000</v>
      </c>
      <c r="R90" s="7">
        <v>192000</v>
      </c>
      <c r="S90" s="7">
        <v>160000</v>
      </c>
      <c r="T90" s="7">
        <v>80000</v>
      </c>
      <c r="U90" s="7"/>
      <c r="V90" s="7">
        <v>80000</v>
      </c>
      <c r="W90" s="7">
        <v>0</v>
      </c>
      <c r="X90" s="7">
        <v>0</v>
      </c>
      <c r="Y90" s="7"/>
      <c r="Z90" s="7"/>
      <c r="AA90" s="7"/>
      <c r="AB90" s="7"/>
      <c r="AC90" s="7"/>
      <c r="AD90" s="7"/>
      <c r="AE90" s="7"/>
      <c r="AF90" s="7"/>
      <c r="AG90" s="7"/>
      <c r="AH90" s="7"/>
      <c r="AI90" s="7"/>
      <c r="AJ90" s="7"/>
      <c r="AK90" s="7"/>
      <c r="AL90" s="7"/>
      <c r="AM90" s="7"/>
      <c r="AN90" s="7"/>
      <c r="AO90" s="7"/>
      <c r="AP90" s="7"/>
      <c r="AQ90" s="7"/>
      <c r="AR90" s="7"/>
      <c r="AS90" s="7"/>
      <c r="AT90" s="7">
        <v>0</v>
      </c>
      <c r="AU90" s="7">
        <v>0</v>
      </c>
      <c r="AV90" s="7">
        <v>0</v>
      </c>
      <c r="AW90" s="7">
        <v>0</v>
      </c>
      <c r="AX90" s="7">
        <v>0</v>
      </c>
      <c r="BG90" s="8">
        <v>42445</v>
      </c>
      <c r="BH90" s="5">
        <v>7</v>
      </c>
      <c r="BJ90" s="5">
        <v>0</v>
      </c>
      <c r="BK90" s="5">
        <f>Tableau1[[#This Row],[Base de financement]]-Tableau1[[#This Row],[Subvention ANRU]]-Tableau1[[#This Row],[Ville]]-Tableau1[[#This Row],[Plaine Commune]]-Tableau1[[#This Row],[Bailleurs]]-Tableau1[[#This Row],[CDC]]-Tableau1[[#This Row],[CD93]]-Tableau1[[#This Row],[CRIF]]-Tableau1[[#This Row],[Europe]]-Tableau1[[#This Row],[Autres]]</f>
        <v>0</v>
      </c>
      <c r="BL90" s="412">
        <f>S90-T90-V90-W90-Y90-Z90-AA90-AB90-AC90-AD90-AE90-AF90-AG90-AH90-AI90-AJ90-AK90-AL90-AM90-AN90-AO90-AP90-AQ90-AR90-AS90-AT90-AU90-AV90-AW90-AY90-BE90-BF90-Tableau1[[#This Row],[Ville de Pantin ]]-Tableau1[[#This Row],[Est-Ensemble ]]-Tableau1[[#This Row],[ASGO]]</f>
        <v>0</v>
      </c>
    </row>
    <row r="91" spans="1:64" ht="20.100000000000001" customHeight="1" x14ac:dyDescent="0.25">
      <c r="A91" s="5" t="s">
        <v>245</v>
      </c>
      <c r="B91" s="5" t="s">
        <v>338</v>
      </c>
      <c r="C91" s="14" t="s">
        <v>1229</v>
      </c>
      <c r="D91" s="5" t="s">
        <v>1023</v>
      </c>
      <c r="E91" s="5" t="s">
        <v>260</v>
      </c>
      <c r="G91" s="5" t="s">
        <v>339</v>
      </c>
      <c r="H91" s="404" t="s">
        <v>340</v>
      </c>
      <c r="I91" s="5" t="s">
        <v>341</v>
      </c>
      <c r="J91" s="5" t="s">
        <v>128</v>
      </c>
      <c r="K91" s="5" t="s">
        <v>41</v>
      </c>
      <c r="L91" s="5" t="s">
        <v>22</v>
      </c>
      <c r="O91" s="5" t="s">
        <v>42</v>
      </c>
      <c r="P91" s="5" t="s">
        <v>342</v>
      </c>
      <c r="Q91" s="227">
        <v>50000</v>
      </c>
      <c r="R91" s="7">
        <v>60000</v>
      </c>
      <c r="S91" s="7">
        <v>50000</v>
      </c>
      <c r="T91" s="7">
        <v>0</v>
      </c>
      <c r="U91" s="7"/>
      <c r="V91" s="7">
        <v>0</v>
      </c>
      <c r="W91" s="7">
        <v>25000</v>
      </c>
      <c r="X91" s="7">
        <v>0</v>
      </c>
      <c r="Y91" s="7"/>
      <c r="Z91" s="7"/>
      <c r="AA91" s="7"/>
      <c r="AB91" s="7"/>
      <c r="AC91" s="7"/>
      <c r="AD91" s="7"/>
      <c r="AE91" s="7"/>
      <c r="AF91" s="7"/>
      <c r="AG91" s="7"/>
      <c r="AH91" s="7"/>
      <c r="AI91" s="7"/>
      <c r="AJ91" s="7"/>
      <c r="AK91" s="7"/>
      <c r="AL91" s="7"/>
      <c r="AM91" s="7"/>
      <c r="AN91" s="7"/>
      <c r="AO91" s="7"/>
      <c r="AP91" s="7"/>
      <c r="AQ91" s="7"/>
      <c r="AR91" s="7"/>
      <c r="AS91" s="7"/>
      <c r="AT91" s="7">
        <v>25000</v>
      </c>
      <c r="AU91" s="7">
        <v>0</v>
      </c>
      <c r="AV91" s="7">
        <v>0</v>
      </c>
      <c r="AW91" s="7">
        <v>0</v>
      </c>
      <c r="AX91" s="7">
        <v>0</v>
      </c>
      <c r="BG91" s="8">
        <v>42445</v>
      </c>
      <c r="BH91" s="5">
        <v>3</v>
      </c>
      <c r="BJ91" s="5">
        <v>0</v>
      </c>
      <c r="BK91" s="5">
        <f>Tableau1[[#This Row],[Base de financement]]-Tableau1[[#This Row],[Subvention ANRU]]-Tableau1[[#This Row],[Ville]]-Tableau1[[#This Row],[Plaine Commune]]-Tableau1[[#This Row],[Bailleurs]]-Tableau1[[#This Row],[CDC]]-Tableau1[[#This Row],[CD93]]-Tableau1[[#This Row],[CRIF]]-Tableau1[[#This Row],[Europe]]-Tableau1[[#This Row],[Autres]]</f>
        <v>0</v>
      </c>
      <c r="BL91" s="412">
        <f>S91-T91-V91-W91-Y91-Z91-AA91-AB91-AC91-AD91-AE91-AF91-AG91-AH91-AI91-AJ91-AK91-AL91-AM91-AN91-AO91-AP91-AQ91-AR91-AS91-AT91-AU91-AV91-AW91-AY91-BE91-BF91-Tableau1[[#This Row],[Ville de Pantin ]]-Tableau1[[#This Row],[Est-Ensemble ]]-Tableau1[[#This Row],[ASGO]]</f>
        <v>0</v>
      </c>
    </row>
    <row r="92" spans="1:64" ht="20.100000000000001" customHeight="1" x14ac:dyDescent="0.25">
      <c r="A92" s="5" t="s">
        <v>245</v>
      </c>
      <c r="B92" s="5" t="s">
        <v>715</v>
      </c>
      <c r="C92" s="14" t="s">
        <v>1229</v>
      </c>
      <c r="D92" s="5" t="s">
        <v>1023</v>
      </c>
      <c r="E92" s="5" t="s">
        <v>260</v>
      </c>
      <c r="G92" s="5" t="s">
        <v>339</v>
      </c>
      <c r="H92" s="404" t="s">
        <v>716</v>
      </c>
      <c r="I92" s="5" t="s">
        <v>341</v>
      </c>
      <c r="J92" s="5" t="s">
        <v>128</v>
      </c>
      <c r="K92" s="5" t="s">
        <v>41</v>
      </c>
      <c r="L92" s="5" t="s">
        <v>22</v>
      </c>
      <c r="O92" s="5" t="s">
        <v>42</v>
      </c>
      <c r="P92" s="5" t="s">
        <v>717</v>
      </c>
      <c r="Q92" s="227">
        <v>45000</v>
      </c>
      <c r="R92" s="7">
        <v>54000</v>
      </c>
      <c r="S92" s="7">
        <v>45000</v>
      </c>
      <c r="T92" s="7">
        <v>0</v>
      </c>
      <c r="U92" s="7"/>
      <c r="V92" s="7">
        <v>0</v>
      </c>
      <c r="W92" s="7">
        <v>22500</v>
      </c>
      <c r="X92" s="7">
        <v>0</v>
      </c>
      <c r="Y92" s="7"/>
      <c r="Z92" s="7"/>
      <c r="AA92" s="7"/>
      <c r="AB92" s="7"/>
      <c r="AC92" s="7"/>
      <c r="AD92" s="7"/>
      <c r="AE92" s="7"/>
      <c r="AF92" s="7"/>
      <c r="AG92" s="7"/>
      <c r="AH92" s="7"/>
      <c r="AI92" s="7"/>
      <c r="AJ92" s="7"/>
      <c r="AK92" s="7"/>
      <c r="AL92" s="7"/>
      <c r="AM92" s="7"/>
      <c r="AN92" s="7"/>
      <c r="AO92" s="7"/>
      <c r="AP92" s="7"/>
      <c r="AQ92" s="7"/>
      <c r="AR92" s="7"/>
      <c r="AS92" s="7"/>
      <c r="AT92" s="7">
        <v>22500</v>
      </c>
      <c r="AU92" s="7">
        <v>0</v>
      </c>
      <c r="AV92" s="7">
        <v>0</v>
      </c>
      <c r="AW92" s="7">
        <v>0</v>
      </c>
      <c r="AX92" s="7">
        <v>0</v>
      </c>
      <c r="BG92" s="8">
        <v>42506</v>
      </c>
      <c r="BH92" s="5">
        <v>12</v>
      </c>
      <c r="BJ92" s="5">
        <v>0</v>
      </c>
      <c r="BK92" s="5">
        <f>Tableau1[[#This Row],[Base de financement]]-Tableau1[[#This Row],[Subvention ANRU]]-Tableau1[[#This Row],[Ville]]-Tableau1[[#This Row],[Plaine Commune]]-Tableau1[[#This Row],[Bailleurs]]-Tableau1[[#This Row],[CDC]]-Tableau1[[#This Row],[CD93]]-Tableau1[[#This Row],[CRIF]]-Tableau1[[#This Row],[Europe]]-Tableau1[[#This Row],[Autres]]</f>
        <v>0</v>
      </c>
      <c r="BL92" s="412">
        <f>S92-T92-V92-W92-Y92-Z92-AA92-AB92-AC92-AD92-AE92-AF92-AG92-AH92-AI92-AJ92-AK92-AL92-AM92-AN92-AO92-AP92-AQ92-AR92-AS92-AT92-AU92-AV92-AW92-AY92-BE92-BF92-Tableau1[[#This Row],[Ville de Pantin ]]-Tableau1[[#This Row],[Est-Ensemble ]]-Tableau1[[#This Row],[ASGO]]</f>
        <v>0</v>
      </c>
    </row>
    <row r="93" spans="1:64" ht="20.100000000000001" hidden="1" customHeight="1" x14ac:dyDescent="0.25">
      <c r="A93" s="5" t="s">
        <v>343</v>
      </c>
      <c r="B93" s="5" t="s">
        <v>348</v>
      </c>
      <c r="C93" s="14" t="s">
        <v>1329</v>
      </c>
      <c r="D93" s="5" t="s">
        <v>1328</v>
      </c>
      <c r="F93" s="5" t="s">
        <v>345</v>
      </c>
      <c r="H93" s="404" t="s">
        <v>349</v>
      </c>
      <c r="J93" s="5" t="s">
        <v>53</v>
      </c>
      <c r="K93" s="5" t="s">
        <v>69</v>
      </c>
      <c r="L93" s="5" t="s">
        <v>350</v>
      </c>
      <c r="O93" s="5" t="s">
        <v>42</v>
      </c>
      <c r="Q93" s="227">
        <v>0</v>
      </c>
      <c r="R93" s="7">
        <v>0</v>
      </c>
      <c r="S93" s="7">
        <v>0</v>
      </c>
      <c r="T93" s="7">
        <v>0</v>
      </c>
      <c r="U93" s="7" t="s">
        <v>351</v>
      </c>
      <c r="V93" s="7">
        <v>0</v>
      </c>
      <c r="W93" s="7">
        <v>0</v>
      </c>
      <c r="X93" s="7">
        <v>0</v>
      </c>
      <c r="Y93" s="7"/>
      <c r="Z93" s="7"/>
      <c r="AA93" s="7"/>
      <c r="AB93" s="7"/>
      <c r="AC93" s="7"/>
      <c r="AD93" s="7"/>
      <c r="AE93" s="7"/>
      <c r="AF93" s="7"/>
      <c r="AG93" s="7"/>
      <c r="AH93" s="7"/>
      <c r="AI93" s="7"/>
      <c r="AJ93" s="7"/>
      <c r="AK93" s="7"/>
      <c r="AL93" s="7"/>
      <c r="AM93" s="7"/>
      <c r="AN93" s="7"/>
      <c r="AO93" s="7"/>
      <c r="AP93" s="7"/>
      <c r="AQ93" s="7"/>
      <c r="AR93" s="7"/>
      <c r="AS93" s="7"/>
      <c r="AT93" s="7">
        <v>0</v>
      </c>
      <c r="AU93" s="7">
        <v>0</v>
      </c>
      <c r="AV93" s="7">
        <v>0</v>
      </c>
      <c r="AW93" s="7">
        <v>0</v>
      </c>
      <c r="AX93" s="7">
        <v>0</v>
      </c>
      <c r="BI93" s="5">
        <v>0</v>
      </c>
      <c r="BJ93" s="5">
        <v>0</v>
      </c>
      <c r="BK93" s="5">
        <f>Tableau1[[#This Row],[Base de financement]]-Tableau1[[#This Row],[Subvention ANRU]]-Tableau1[[#This Row],[Ville]]-Tableau1[[#This Row],[Plaine Commune]]-Tableau1[[#This Row],[Bailleurs]]-Tableau1[[#This Row],[CDC]]-Tableau1[[#This Row],[CD93]]-Tableau1[[#This Row],[CRIF]]-Tableau1[[#This Row],[Europe]]-Tableau1[[#This Row],[Autres]]</f>
        <v>0</v>
      </c>
      <c r="BL93" s="412">
        <f>S93-T93-V93-W93-Y93-Z93-AA93-AB93-AC93-AD93-AE93-AF93-AG93-AH93-AI93-AJ93-AK93-AL93-AM93-AN93-AO93-AP93-AQ93-AR93-AS93-AT93-AU93-AV93-AW93-AY93-BE93-BF93-Tableau1[[#This Row],[Ville de Pantin ]]-Tableau1[[#This Row],[Est-Ensemble ]]-Tableau1[[#This Row],[ASGO]]</f>
        <v>0</v>
      </c>
    </row>
    <row r="94" spans="1:64" ht="20.100000000000001" hidden="1" customHeight="1" x14ac:dyDescent="0.25">
      <c r="A94" s="264" t="s">
        <v>202</v>
      </c>
      <c r="B94" s="264" t="s">
        <v>203</v>
      </c>
      <c r="C94" s="14" t="s">
        <v>1219</v>
      </c>
      <c r="D94" s="264" t="s">
        <v>121</v>
      </c>
      <c r="E94" s="264"/>
      <c r="F94" s="264" t="s">
        <v>37</v>
      </c>
      <c r="G94" s="264"/>
      <c r="H94" s="460" t="s">
        <v>204</v>
      </c>
      <c r="I94" s="264"/>
      <c r="J94" s="264" t="s">
        <v>68</v>
      </c>
      <c r="K94" s="264" t="s">
        <v>69</v>
      </c>
      <c r="L94" s="264" t="s">
        <v>205</v>
      </c>
      <c r="M94" s="264"/>
      <c r="N94" s="264"/>
      <c r="O94" s="264" t="s">
        <v>42</v>
      </c>
      <c r="P94" s="264" t="s">
        <v>206</v>
      </c>
      <c r="Q94" s="405"/>
      <c r="R94" s="265"/>
      <c r="S94" s="265"/>
      <c r="T94" s="265"/>
      <c r="U94" s="265" t="s">
        <v>207</v>
      </c>
      <c r="V94" s="265"/>
      <c r="W94" s="265"/>
      <c r="X94" s="265"/>
      <c r="Y94" s="265"/>
      <c r="Z94" s="265"/>
      <c r="AA94" s="265"/>
      <c r="AB94" s="265"/>
      <c r="AC94" s="265"/>
      <c r="AD94" s="265"/>
      <c r="AE94" s="265"/>
      <c r="AF94" s="265"/>
      <c r="AG94" s="265"/>
      <c r="AH94" s="265"/>
      <c r="AI94" s="265"/>
      <c r="AJ94" s="265"/>
      <c r="AK94" s="265"/>
      <c r="AL94" s="265"/>
      <c r="AM94" s="265"/>
      <c r="AN94" s="265"/>
      <c r="AO94" s="265"/>
      <c r="AP94" s="265"/>
      <c r="AQ94" s="265"/>
      <c r="AR94" s="265"/>
      <c r="AS94" s="265"/>
      <c r="AT94" s="265"/>
      <c r="AU94" s="265"/>
      <c r="AV94" s="265"/>
      <c r="AW94" s="265"/>
      <c r="AX94" s="265"/>
      <c r="BJ94" s="5"/>
      <c r="BK94" s="5">
        <f>Tableau1[[#This Row],[Base de financement]]-Tableau1[[#This Row],[Subvention ANRU]]-Tableau1[[#This Row],[Ville]]-Tableau1[[#This Row],[Plaine Commune]]-Tableau1[[#This Row],[Bailleurs]]-Tableau1[[#This Row],[CDC]]-Tableau1[[#This Row],[CD93]]-Tableau1[[#This Row],[CRIF]]-Tableau1[[#This Row],[Europe]]-Tableau1[[#This Row],[Autres]]</f>
        <v>0</v>
      </c>
      <c r="BL94" s="412">
        <f>S94-T94-V94-W94-Y94-Z94-AA94-AB94-AC94-AD94-AE94-AF94-AG94-AH94-AI94-AJ94-AK94-AL94-AM94-AN94-AO94-AP94-AQ94-AR94-AS94-AT94-AU94-AV94-AW94-AY94-BE94-BF94-Tableau1[[#This Row],[Ville de Pantin ]]-Tableau1[[#This Row],[Est-Ensemble ]]-Tableau1[[#This Row],[ASGO]]</f>
        <v>0</v>
      </c>
    </row>
    <row r="95" spans="1:64" ht="20.100000000000001" hidden="1" customHeight="1" x14ac:dyDescent="0.25">
      <c r="A95" s="264" t="s">
        <v>202</v>
      </c>
      <c r="B95" s="264" t="s">
        <v>208</v>
      </c>
      <c r="C95" s="14" t="s">
        <v>1220</v>
      </c>
      <c r="D95" s="264" t="s">
        <v>121</v>
      </c>
      <c r="E95" s="264"/>
      <c r="F95" s="264" t="s">
        <v>37</v>
      </c>
      <c r="G95" s="264"/>
      <c r="H95" s="460" t="s">
        <v>209</v>
      </c>
      <c r="I95" s="264"/>
      <c r="J95" s="264" t="s">
        <v>210</v>
      </c>
      <c r="K95" s="5" t="s">
        <v>47</v>
      </c>
      <c r="L95" s="264" t="s">
        <v>211</v>
      </c>
      <c r="M95" s="264"/>
      <c r="N95" s="264"/>
      <c r="O95" s="264" t="s">
        <v>42</v>
      </c>
      <c r="P95" s="264" t="s">
        <v>212</v>
      </c>
      <c r="Q95" s="405"/>
      <c r="R95" s="265"/>
      <c r="S95" s="265"/>
      <c r="T95" s="265"/>
      <c r="U95" s="265" t="s">
        <v>213</v>
      </c>
      <c r="V95" s="265"/>
      <c r="W95" s="265"/>
      <c r="X95" s="265"/>
      <c r="Y95" s="265"/>
      <c r="Z95" s="265"/>
      <c r="AA95" s="265"/>
      <c r="AB95" s="265"/>
      <c r="AC95" s="265"/>
      <c r="AD95" s="265"/>
      <c r="AE95" s="265"/>
      <c r="AF95" s="265"/>
      <c r="AG95" s="265"/>
      <c r="AH95" s="265"/>
      <c r="AI95" s="265"/>
      <c r="AJ95" s="265"/>
      <c r="AK95" s="265"/>
      <c r="AL95" s="265"/>
      <c r="AM95" s="265"/>
      <c r="AN95" s="265"/>
      <c r="AO95" s="265"/>
      <c r="AP95" s="265"/>
      <c r="AQ95" s="265"/>
      <c r="AR95" s="265"/>
      <c r="AS95" s="265"/>
      <c r="AT95" s="265"/>
      <c r="AU95" s="265"/>
      <c r="AV95" s="265"/>
      <c r="AW95" s="265"/>
      <c r="AX95" s="265"/>
      <c r="BJ95" s="5"/>
      <c r="BK95" s="5">
        <f>Tableau1[[#This Row],[Base de financement]]-Tableau1[[#This Row],[Subvention ANRU]]-Tableau1[[#This Row],[Ville]]-Tableau1[[#This Row],[Plaine Commune]]-Tableau1[[#This Row],[Bailleurs]]-Tableau1[[#This Row],[CDC]]-Tableau1[[#This Row],[CD93]]-Tableau1[[#This Row],[CRIF]]-Tableau1[[#This Row],[Europe]]-Tableau1[[#This Row],[Autres]]</f>
        <v>0</v>
      </c>
      <c r="BL95" s="412">
        <f>S95-T95-V95-W95-Y95-Z95-AA95-AB95-AC95-AD95-AE95-AF95-AG95-AH95-AI95-AJ95-AK95-AL95-AM95-AN95-AO95-AP95-AQ95-AR95-AS95-AT95-AU95-AV95-AW95-AY95-BE95-BF95-Tableau1[[#This Row],[Ville de Pantin ]]-Tableau1[[#This Row],[Est-Ensemble ]]-Tableau1[[#This Row],[ASGO]]</f>
        <v>0</v>
      </c>
    </row>
    <row r="96" spans="1:64" ht="20.100000000000001" hidden="1" customHeight="1" x14ac:dyDescent="0.25">
      <c r="A96" s="264" t="s">
        <v>202</v>
      </c>
      <c r="B96" s="264" t="s">
        <v>214</v>
      </c>
      <c r="C96" s="14" t="s">
        <v>1221</v>
      </c>
      <c r="D96" s="264" t="s">
        <v>121</v>
      </c>
      <c r="E96" s="264"/>
      <c r="F96" s="264" t="s">
        <v>37</v>
      </c>
      <c r="H96" s="460" t="s">
        <v>215</v>
      </c>
      <c r="I96" s="264"/>
      <c r="J96" s="264" t="s">
        <v>53</v>
      </c>
      <c r="K96" s="264" t="s">
        <v>61</v>
      </c>
      <c r="L96" s="264" t="s">
        <v>211</v>
      </c>
      <c r="M96" s="264"/>
      <c r="N96" s="264"/>
      <c r="O96" s="264" t="s">
        <v>42</v>
      </c>
      <c r="P96" s="264" t="s">
        <v>216</v>
      </c>
      <c r="Q96" s="405"/>
      <c r="R96" s="265"/>
      <c r="S96" s="265"/>
      <c r="T96" s="265"/>
      <c r="U96" s="265" t="s">
        <v>217</v>
      </c>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265"/>
      <c r="BJ96" s="5"/>
      <c r="BK96" s="5">
        <f>Tableau1[[#This Row],[Base de financement]]-Tableau1[[#This Row],[Subvention ANRU]]-Tableau1[[#This Row],[Ville]]-Tableau1[[#This Row],[Plaine Commune]]-Tableau1[[#This Row],[Bailleurs]]-Tableau1[[#This Row],[CDC]]-Tableau1[[#This Row],[CD93]]-Tableau1[[#This Row],[CRIF]]-Tableau1[[#This Row],[Europe]]-Tableau1[[#This Row],[Autres]]</f>
        <v>0</v>
      </c>
      <c r="BL96" s="412">
        <f>S96-T96-V96-W96-Y96-Z96-AA96-AB96-AC96-AD96-AE96-AF96-AG96-AH96-AI96-AJ96-AK96-AL96-AM96-AN96-AO96-AP96-AQ96-AR96-AS96-AT96-AU96-AV96-AW96-AY96-BE96-BF96-Tableau1[[#This Row],[Ville de Pantin ]]-Tableau1[[#This Row],[Est-Ensemble ]]-Tableau1[[#This Row],[ASGO]]</f>
        <v>0</v>
      </c>
    </row>
    <row r="97" spans="1:64" ht="20.100000000000001" hidden="1" customHeight="1" x14ac:dyDescent="0.25">
      <c r="A97" s="264" t="s">
        <v>202</v>
      </c>
      <c r="B97" s="264" t="s">
        <v>214</v>
      </c>
      <c r="C97" s="14" t="s">
        <v>1221</v>
      </c>
      <c r="D97" s="264" t="s">
        <v>121</v>
      </c>
      <c r="E97" s="264"/>
      <c r="F97" s="264" t="s">
        <v>37</v>
      </c>
      <c r="H97" s="460" t="s">
        <v>218</v>
      </c>
      <c r="I97" s="264"/>
      <c r="J97" s="264" t="s">
        <v>53</v>
      </c>
      <c r="K97" s="264" t="s">
        <v>61</v>
      </c>
      <c r="L97" s="264" t="s">
        <v>211</v>
      </c>
      <c r="M97" s="264"/>
      <c r="N97" s="264"/>
      <c r="O97" s="264" t="s">
        <v>42</v>
      </c>
      <c r="P97" s="264" t="s">
        <v>219</v>
      </c>
      <c r="Q97" s="405"/>
      <c r="R97" s="265"/>
      <c r="S97" s="265"/>
      <c r="T97" s="265"/>
      <c r="U97" s="265" t="s">
        <v>217</v>
      </c>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265"/>
      <c r="BJ97" s="5"/>
      <c r="BK97" s="5">
        <f>Tableau1[[#This Row],[Base de financement]]-Tableau1[[#This Row],[Subvention ANRU]]-Tableau1[[#This Row],[Ville]]-Tableau1[[#This Row],[Plaine Commune]]-Tableau1[[#This Row],[Bailleurs]]-Tableau1[[#This Row],[CDC]]-Tableau1[[#This Row],[CD93]]-Tableau1[[#This Row],[CRIF]]-Tableau1[[#This Row],[Europe]]-Tableau1[[#This Row],[Autres]]</f>
        <v>0</v>
      </c>
      <c r="BL97" s="412">
        <f>S97-T97-V97-W97-Y97-Z97-AA97-AB97-AC97-AD97-AE97-AF97-AG97-AH97-AI97-AJ97-AK97-AL97-AM97-AN97-AO97-AP97-AQ97-AR97-AS97-AT97-AU97-AV97-AW97-AY97-BE97-BF97-Tableau1[[#This Row],[Ville de Pantin ]]-Tableau1[[#This Row],[Est-Ensemble ]]-Tableau1[[#This Row],[ASGO]]</f>
        <v>0</v>
      </c>
    </row>
    <row r="98" spans="1:64" ht="20.100000000000001" hidden="1" customHeight="1" x14ac:dyDescent="0.25">
      <c r="A98" s="264" t="s">
        <v>202</v>
      </c>
      <c r="B98" s="264" t="s">
        <v>220</v>
      </c>
      <c r="C98" s="14" t="s">
        <v>1222</v>
      </c>
      <c r="D98" s="264" t="s">
        <v>121</v>
      </c>
      <c r="E98" s="264"/>
      <c r="F98" s="264" t="s">
        <v>37</v>
      </c>
      <c r="G98" s="264"/>
      <c r="H98" s="460" t="s">
        <v>221</v>
      </c>
      <c r="I98" s="264"/>
      <c r="J98" s="264" t="s">
        <v>53</v>
      </c>
      <c r="K98" s="264" t="s">
        <v>61</v>
      </c>
      <c r="L98" s="264" t="s">
        <v>211</v>
      </c>
      <c r="M98" s="264"/>
      <c r="N98" s="264"/>
      <c r="O98" s="264" t="s">
        <v>42</v>
      </c>
      <c r="P98" s="264" t="s">
        <v>219</v>
      </c>
      <c r="Q98" s="405"/>
      <c r="R98" s="265"/>
      <c r="S98" s="265"/>
      <c r="T98" s="265"/>
      <c r="U98" s="265" t="s">
        <v>222</v>
      </c>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BJ98" s="5"/>
      <c r="BK98" s="5">
        <f>Tableau1[[#This Row],[Base de financement]]-Tableau1[[#This Row],[Subvention ANRU]]-Tableau1[[#This Row],[Ville]]-Tableau1[[#This Row],[Plaine Commune]]-Tableau1[[#This Row],[Bailleurs]]-Tableau1[[#This Row],[CDC]]-Tableau1[[#This Row],[CD93]]-Tableau1[[#This Row],[CRIF]]-Tableau1[[#This Row],[Europe]]-Tableau1[[#This Row],[Autres]]</f>
        <v>0</v>
      </c>
      <c r="BL98" s="412">
        <f>S98-T98-V98-W98-Y98-Z98-AA98-AB98-AC98-AD98-AE98-AF98-AG98-AH98-AI98-AJ98-AK98-AL98-AM98-AN98-AO98-AP98-AQ98-AR98-AS98-AT98-AU98-AV98-AW98-AY98-BE98-BF98-Tableau1[[#This Row],[Ville de Pantin ]]-Tableau1[[#This Row],[Est-Ensemble ]]-Tableau1[[#This Row],[ASGO]]</f>
        <v>0</v>
      </c>
    </row>
    <row r="99" spans="1:64" ht="20.100000000000001" hidden="1" customHeight="1" x14ac:dyDescent="0.25">
      <c r="A99" s="264" t="s">
        <v>202</v>
      </c>
      <c r="B99" s="264" t="s">
        <v>223</v>
      </c>
      <c r="C99" s="14" t="s">
        <v>1223</v>
      </c>
      <c r="D99" s="264" t="s">
        <v>121</v>
      </c>
      <c r="E99" s="264"/>
      <c r="F99" s="264" t="s">
        <v>37</v>
      </c>
      <c r="G99" s="264"/>
      <c r="H99" s="460" t="s">
        <v>224</v>
      </c>
      <c r="I99" s="264"/>
      <c r="J99" s="264" t="s">
        <v>53</v>
      </c>
      <c r="K99" s="264" t="s">
        <v>47</v>
      </c>
      <c r="L99" s="264" t="s">
        <v>211</v>
      </c>
      <c r="M99" s="264"/>
      <c r="N99" s="264"/>
      <c r="O99" s="264" t="s">
        <v>42</v>
      </c>
      <c r="P99" s="264" t="s">
        <v>219</v>
      </c>
      <c r="Q99" s="405"/>
      <c r="R99" s="265"/>
      <c r="S99" s="265"/>
      <c r="T99" s="265"/>
      <c r="U99" s="265" t="s">
        <v>225</v>
      </c>
      <c r="V99" s="265"/>
      <c r="W99" s="265"/>
      <c r="X99" s="265"/>
      <c r="Y99" s="265"/>
      <c r="Z99" s="265"/>
      <c r="AA99" s="265"/>
      <c r="AB99" s="265"/>
      <c r="AC99" s="265"/>
      <c r="AD99" s="265"/>
      <c r="AE99" s="265"/>
      <c r="AF99" s="265"/>
      <c r="AG99" s="265"/>
      <c r="AH99" s="265"/>
      <c r="AI99" s="265"/>
      <c r="AJ99" s="265"/>
      <c r="AK99" s="265"/>
      <c r="AL99" s="265"/>
      <c r="AM99" s="265"/>
      <c r="AN99" s="265"/>
      <c r="AO99" s="265"/>
      <c r="AP99" s="265"/>
      <c r="AQ99" s="265"/>
      <c r="AR99" s="265"/>
      <c r="AS99" s="265"/>
      <c r="AT99" s="265"/>
      <c r="AU99" s="265"/>
      <c r="AV99" s="265"/>
      <c r="AW99" s="265"/>
      <c r="AX99" s="265"/>
      <c r="BJ99" s="5"/>
      <c r="BK99" s="5">
        <f>Tableau1[[#This Row],[Base de financement]]-Tableau1[[#This Row],[Subvention ANRU]]-Tableau1[[#This Row],[Ville]]-Tableau1[[#This Row],[Plaine Commune]]-Tableau1[[#This Row],[Bailleurs]]-Tableau1[[#This Row],[CDC]]-Tableau1[[#This Row],[CD93]]-Tableau1[[#This Row],[CRIF]]-Tableau1[[#This Row],[Europe]]-Tableau1[[#This Row],[Autres]]</f>
        <v>0</v>
      </c>
      <c r="BL99" s="412">
        <f>S99-T99-V99-W99-Y99-Z99-AA99-AB99-AC99-AD99-AE99-AF99-AG99-AH99-AI99-AJ99-AK99-AL99-AM99-AN99-AO99-AP99-AQ99-AR99-AS99-AT99-AU99-AV99-AW99-AY99-BE99-BF99-Tableau1[[#This Row],[Ville de Pantin ]]-Tableau1[[#This Row],[Est-Ensemble ]]-Tableau1[[#This Row],[ASGO]]</f>
        <v>0</v>
      </c>
    </row>
    <row r="100" spans="1:64" ht="20.100000000000001" hidden="1" customHeight="1" x14ac:dyDescent="0.25">
      <c r="A100" s="264" t="s">
        <v>202</v>
      </c>
      <c r="B100" s="264" t="s">
        <v>226</v>
      </c>
      <c r="C100" s="14" t="s">
        <v>1224</v>
      </c>
      <c r="D100" s="264" t="s">
        <v>121</v>
      </c>
      <c r="E100" s="264"/>
      <c r="F100" s="264" t="s">
        <v>37</v>
      </c>
      <c r="H100" s="460" t="s">
        <v>227</v>
      </c>
      <c r="I100" s="264"/>
      <c r="J100" s="264" t="s">
        <v>113</v>
      </c>
      <c r="K100" s="264" t="s">
        <v>113</v>
      </c>
      <c r="L100" s="264" t="s">
        <v>211</v>
      </c>
      <c r="M100" s="264"/>
      <c r="N100" s="264"/>
      <c r="O100" s="264" t="s">
        <v>42</v>
      </c>
      <c r="P100" s="264"/>
      <c r="Q100" s="405"/>
      <c r="R100" s="265"/>
      <c r="S100" s="265"/>
      <c r="T100" s="265"/>
      <c r="U100" s="265" t="s">
        <v>228</v>
      </c>
      <c r="V100" s="265"/>
      <c r="W100" s="265"/>
      <c r="X100" s="265"/>
      <c r="Y100" s="265"/>
      <c r="Z100" s="265"/>
      <c r="AA100" s="265"/>
      <c r="AB100" s="265"/>
      <c r="AC100" s="265"/>
      <c r="AD100" s="265"/>
      <c r="AE100" s="265"/>
      <c r="AF100" s="265"/>
      <c r="AG100" s="265"/>
      <c r="AH100" s="265"/>
      <c r="AI100" s="265"/>
      <c r="AJ100" s="265"/>
      <c r="AK100" s="265"/>
      <c r="AL100" s="265"/>
      <c r="AM100" s="265"/>
      <c r="AN100" s="265"/>
      <c r="AO100" s="265"/>
      <c r="AP100" s="265"/>
      <c r="AQ100" s="265"/>
      <c r="AR100" s="265"/>
      <c r="AS100" s="265"/>
      <c r="AT100" s="265"/>
      <c r="AU100" s="265"/>
      <c r="AV100" s="265"/>
      <c r="AW100" s="265"/>
      <c r="AX100" s="265"/>
      <c r="BJ100" s="5"/>
      <c r="BK100" s="5">
        <f>Tableau1[[#This Row],[Base de financement]]-Tableau1[[#This Row],[Subvention ANRU]]-Tableau1[[#This Row],[Ville]]-Tableau1[[#This Row],[Plaine Commune]]-Tableau1[[#This Row],[Bailleurs]]-Tableau1[[#This Row],[CDC]]-Tableau1[[#This Row],[CD93]]-Tableau1[[#This Row],[CRIF]]-Tableau1[[#This Row],[Europe]]-Tableau1[[#This Row],[Autres]]</f>
        <v>0</v>
      </c>
      <c r="BL100" s="412">
        <f>S100-T100-V100-W100-Y100-Z100-AA100-AB100-AC100-AD100-AE100-AF100-AG100-AH100-AI100-AJ100-AK100-AL100-AM100-AN100-AO100-AP100-AQ100-AR100-AS100-AT100-AU100-AV100-AW100-AY100-BE100-BF100-Tableau1[[#This Row],[Ville de Pantin ]]-Tableau1[[#This Row],[Est-Ensemble ]]-Tableau1[[#This Row],[ASGO]]</f>
        <v>0</v>
      </c>
    </row>
    <row r="101" spans="1:64" ht="20.100000000000001" hidden="1" customHeight="1" x14ac:dyDescent="0.25">
      <c r="A101" s="5" t="s">
        <v>202</v>
      </c>
      <c r="B101" s="5" t="s">
        <v>229</v>
      </c>
      <c r="C101" s="14" t="s">
        <v>1225</v>
      </c>
      <c r="D101" s="5" t="s">
        <v>121</v>
      </c>
      <c r="F101" s="5" t="s">
        <v>37</v>
      </c>
      <c r="H101" s="404" t="s">
        <v>230</v>
      </c>
      <c r="J101" s="5" t="s">
        <v>40</v>
      </c>
      <c r="K101" s="5" t="s">
        <v>69</v>
      </c>
      <c r="L101" s="5" t="s">
        <v>231</v>
      </c>
      <c r="O101" s="5" t="s">
        <v>42</v>
      </c>
      <c r="P101" s="5" t="s">
        <v>232</v>
      </c>
      <c r="Q101" s="227"/>
      <c r="R101" s="7"/>
      <c r="S101" s="7"/>
      <c r="T101" s="7"/>
      <c r="U101" s="7" t="s">
        <v>233</v>
      </c>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BJ101" s="5"/>
      <c r="BK101" s="5">
        <f>Tableau1[[#This Row],[Base de financement]]-Tableau1[[#This Row],[Subvention ANRU]]-Tableau1[[#This Row],[Ville]]-Tableau1[[#This Row],[Plaine Commune]]-Tableau1[[#This Row],[Bailleurs]]-Tableau1[[#This Row],[CDC]]-Tableau1[[#This Row],[CD93]]-Tableau1[[#This Row],[CRIF]]-Tableau1[[#This Row],[Europe]]-Tableau1[[#This Row],[Autres]]</f>
        <v>0</v>
      </c>
      <c r="BL101" s="412">
        <f>S101-T101-V101-W101-Y101-Z101-AA101-AB101-AC101-AD101-AE101-AF101-AG101-AH101-AI101-AJ101-AK101-AL101-AM101-AN101-AO101-AP101-AQ101-AR101-AS101-AT101-AU101-AV101-AW101-AY101-BE101-BF101-Tableau1[[#This Row],[Ville de Pantin ]]-Tableau1[[#This Row],[Est-Ensemble ]]-Tableau1[[#This Row],[ASGO]]</f>
        <v>0</v>
      </c>
    </row>
    <row r="102" spans="1:64" ht="20.100000000000001" customHeight="1" x14ac:dyDescent="0.25">
      <c r="A102" s="5" t="s">
        <v>189</v>
      </c>
      <c r="B102" s="5" t="s">
        <v>190</v>
      </c>
      <c r="C102" s="14" t="s">
        <v>1253</v>
      </c>
      <c r="D102" s="5" t="s">
        <v>191</v>
      </c>
      <c r="E102" s="5" t="s">
        <v>36</v>
      </c>
      <c r="F102" s="5" t="s">
        <v>192</v>
      </c>
      <c r="H102" s="404" t="s">
        <v>193</v>
      </c>
      <c r="I102" s="5" t="s">
        <v>194</v>
      </c>
      <c r="J102" s="5" t="s">
        <v>68</v>
      </c>
      <c r="K102" s="5" t="s">
        <v>69</v>
      </c>
      <c r="L102" s="5" t="s">
        <v>22</v>
      </c>
      <c r="N102" s="5" t="s">
        <v>42</v>
      </c>
      <c r="P102" s="5" t="s">
        <v>195</v>
      </c>
      <c r="Q102" s="227">
        <v>40000</v>
      </c>
      <c r="R102" s="7">
        <v>48000</v>
      </c>
      <c r="S102" s="7">
        <v>40000</v>
      </c>
      <c r="T102" s="7">
        <v>12000</v>
      </c>
      <c r="U102" s="7"/>
      <c r="V102" s="7">
        <v>0</v>
      </c>
      <c r="W102" s="7">
        <v>28000</v>
      </c>
      <c r="X102" s="7">
        <v>0</v>
      </c>
      <c r="Y102" s="7"/>
      <c r="Z102" s="7"/>
      <c r="AA102" s="7"/>
      <c r="AB102" s="7"/>
      <c r="AC102" s="7"/>
      <c r="AD102" s="7"/>
      <c r="AE102" s="7"/>
      <c r="AF102" s="7"/>
      <c r="AG102" s="7"/>
      <c r="AH102" s="7"/>
      <c r="AI102" s="7"/>
      <c r="AJ102" s="7"/>
      <c r="AK102" s="7"/>
      <c r="AL102" s="7"/>
      <c r="AM102" s="7"/>
      <c r="AN102" s="7"/>
      <c r="AO102" s="7"/>
      <c r="AP102" s="7"/>
      <c r="AQ102" s="7">
        <f>Tableau1[[#This Row],[Bailleurs]]</f>
        <v>0</v>
      </c>
      <c r="AR102" s="7"/>
      <c r="AS102" s="7"/>
      <c r="AT102" s="7">
        <v>0</v>
      </c>
      <c r="AU102" s="7">
        <v>0</v>
      </c>
      <c r="AV102" s="7">
        <v>0</v>
      </c>
      <c r="AW102" s="7">
        <v>0</v>
      </c>
      <c r="AX102" s="7">
        <v>0</v>
      </c>
      <c r="BG102" s="8">
        <v>42430</v>
      </c>
      <c r="BH102" s="5">
        <v>6</v>
      </c>
      <c r="BI102" s="5">
        <v>136</v>
      </c>
      <c r="BJ102" s="5">
        <v>0</v>
      </c>
      <c r="BK102" s="5">
        <f>Tableau1[[#This Row],[Base de financement]]-Tableau1[[#This Row],[Subvention ANRU]]-Tableau1[[#This Row],[Ville]]-Tableau1[[#This Row],[Plaine Commune]]-Tableau1[[#This Row],[Bailleurs]]-Tableau1[[#This Row],[CDC]]-Tableau1[[#This Row],[CD93]]-Tableau1[[#This Row],[CRIF]]-Tableau1[[#This Row],[Europe]]-Tableau1[[#This Row],[Autres]]</f>
        <v>0</v>
      </c>
      <c r="BL102" s="412">
        <f>S102-T102-V102-W102-Y102-Z102-AA102-AB102-AC102-AD102-AE102-AF102-AG102-AH102-AI102-AJ102-AK102-AL102-AM102-AN102-AO102-AP102-AQ102-AR102-AS102-AT102-AU102-AV102-AW102-AY102-BE102-BF102-Tableau1[[#This Row],[Ville de Pantin ]]-Tableau1[[#This Row],[Est-Ensemble ]]-Tableau1[[#This Row],[ASGO]]</f>
        <v>0</v>
      </c>
    </row>
    <row r="103" spans="1:64" ht="34.5" customHeight="1" x14ac:dyDescent="0.25">
      <c r="A103" s="5" t="s">
        <v>189</v>
      </c>
      <c r="B103" s="5" t="s">
        <v>196</v>
      </c>
      <c r="C103" s="14" t="s">
        <v>1252</v>
      </c>
      <c r="D103" s="5" t="s">
        <v>191</v>
      </c>
      <c r="E103" s="5" t="s">
        <v>36</v>
      </c>
      <c r="F103" s="5" t="s">
        <v>192</v>
      </c>
      <c r="G103" s="5" t="s">
        <v>197</v>
      </c>
      <c r="H103" s="404" t="s">
        <v>198</v>
      </c>
      <c r="I103" s="5" t="s">
        <v>199</v>
      </c>
      <c r="J103" s="5" t="s">
        <v>68</v>
      </c>
      <c r="K103" s="5" t="s">
        <v>69</v>
      </c>
      <c r="L103" s="5" t="s">
        <v>22</v>
      </c>
      <c r="O103" s="5" t="s">
        <v>42</v>
      </c>
      <c r="P103" s="5" t="s">
        <v>200</v>
      </c>
      <c r="Q103" s="227">
        <v>15000</v>
      </c>
      <c r="R103" s="7">
        <v>18000</v>
      </c>
      <c r="S103" s="7">
        <v>15000</v>
      </c>
      <c r="T103" s="7">
        <v>0</v>
      </c>
      <c r="U103" s="7" t="s">
        <v>201</v>
      </c>
      <c r="V103" s="7">
        <v>0</v>
      </c>
      <c r="W103" s="7">
        <v>7500</v>
      </c>
      <c r="X103" s="7">
        <v>0</v>
      </c>
      <c r="Y103" s="7"/>
      <c r="Z103" s="7"/>
      <c r="AA103" s="7"/>
      <c r="AB103" s="7"/>
      <c r="AC103" s="7"/>
      <c r="AD103" s="7"/>
      <c r="AE103" s="7"/>
      <c r="AF103" s="7"/>
      <c r="AG103" s="7"/>
      <c r="AH103" s="7"/>
      <c r="AI103" s="7"/>
      <c r="AJ103" s="7"/>
      <c r="AK103" s="7"/>
      <c r="AL103" s="7"/>
      <c r="AM103" s="7"/>
      <c r="AN103" s="7"/>
      <c r="AO103" s="7"/>
      <c r="AP103" s="7"/>
      <c r="AQ103" s="7">
        <f>Tableau1[[#This Row],[Bailleurs]]</f>
        <v>0</v>
      </c>
      <c r="AR103" s="7"/>
      <c r="AS103" s="7"/>
      <c r="AT103" s="7">
        <v>0</v>
      </c>
      <c r="AU103" s="7">
        <v>0</v>
      </c>
      <c r="AV103" s="7">
        <v>0</v>
      </c>
      <c r="AW103" s="7">
        <v>0</v>
      </c>
      <c r="AX103" s="7">
        <v>7500</v>
      </c>
      <c r="AY103" s="5">
        <v>7500</v>
      </c>
      <c r="BG103" s="8">
        <v>42430</v>
      </c>
      <c r="BI103" s="5">
        <v>136</v>
      </c>
      <c r="BJ103" s="5">
        <v>0</v>
      </c>
      <c r="BK103" s="5">
        <f>Tableau1[[#This Row],[Base de financement]]-Tableau1[[#This Row],[Subvention ANRU]]-Tableau1[[#This Row],[Ville]]-Tableau1[[#This Row],[Plaine Commune]]-Tableau1[[#This Row],[Bailleurs]]-Tableau1[[#This Row],[CDC]]-Tableau1[[#This Row],[CD93]]-Tableau1[[#This Row],[CRIF]]-Tableau1[[#This Row],[Europe]]-Tableau1[[#This Row],[Autres]]</f>
        <v>0</v>
      </c>
      <c r="BL103" s="412">
        <f>S103-T103-V103-W103-Y103-Z103-AA103-AB103-AC103-AD103-AE103-AF103-AG103-AH103-AI103-AJ103-AK103-AL103-AM103-AN103-AO103-AP103-AQ103-AR103-AS103-AT103-AU103-AV103-AW103-AY103-BE103-BF103-Tableau1[[#This Row],[Ville de Pantin ]]-Tableau1[[#This Row],[Est-Ensemble ]]-Tableau1[[#This Row],[ASGO]]</f>
        <v>0</v>
      </c>
    </row>
    <row r="104" spans="1:64" ht="58.5" customHeight="1" x14ac:dyDescent="0.25">
      <c r="A104" s="5" t="s">
        <v>189</v>
      </c>
      <c r="B104" s="5" t="s">
        <v>402</v>
      </c>
      <c r="C104" s="14" t="s">
        <v>1252</v>
      </c>
      <c r="D104" s="5" t="s">
        <v>191</v>
      </c>
      <c r="E104" s="5" t="s">
        <v>36</v>
      </c>
      <c r="F104" s="5" t="s">
        <v>192</v>
      </c>
      <c r="G104" s="5" t="s">
        <v>197</v>
      </c>
      <c r="H104" s="404" t="s">
        <v>403</v>
      </c>
      <c r="I104" s="5" t="s">
        <v>199</v>
      </c>
      <c r="J104" s="5" t="s">
        <v>68</v>
      </c>
      <c r="K104" s="5" t="s">
        <v>69</v>
      </c>
      <c r="L104" s="5" t="s">
        <v>22</v>
      </c>
      <c r="O104" s="5" t="s">
        <v>42</v>
      </c>
      <c r="P104" s="5" t="s">
        <v>404</v>
      </c>
      <c r="Q104" s="227">
        <v>15000</v>
      </c>
      <c r="R104" s="7">
        <v>18000</v>
      </c>
      <c r="S104" s="7">
        <v>15000</v>
      </c>
      <c r="T104" s="7">
        <v>5000</v>
      </c>
      <c r="U104" s="7"/>
      <c r="V104" s="7">
        <v>0</v>
      </c>
      <c r="W104" s="7">
        <v>8000</v>
      </c>
      <c r="X104" s="7">
        <v>0</v>
      </c>
      <c r="Y104" s="7"/>
      <c r="Z104" s="7"/>
      <c r="AA104" s="7"/>
      <c r="AB104" s="7"/>
      <c r="AC104" s="7"/>
      <c r="AD104" s="7"/>
      <c r="AE104" s="7"/>
      <c r="AF104" s="7"/>
      <c r="AG104" s="7"/>
      <c r="AH104" s="7"/>
      <c r="AI104" s="7"/>
      <c r="AJ104" s="7"/>
      <c r="AK104" s="7"/>
      <c r="AL104" s="7"/>
      <c r="AM104" s="7"/>
      <c r="AN104" s="7"/>
      <c r="AO104" s="7"/>
      <c r="AP104" s="7"/>
      <c r="AQ104" s="7"/>
      <c r="AR104" s="7"/>
      <c r="AS104" s="7"/>
      <c r="AT104" s="7">
        <v>2000</v>
      </c>
      <c r="AU104" s="7">
        <v>0</v>
      </c>
      <c r="AV104" s="7">
        <v>0</v>
      </c>
      <c r="AW104" s="7">
        <v>0</v>
      </c>
      <c r="AX104" s="7">
        <v>0</v>
      </c>
      <c r="BI104" s="5">
        <v>136</v>
      </c>
      <c r="BJ104" s="5">
        <v>0</v>
      </c>
      <c r="BK104" s="5">
        <f>Tableau1[[#This Row],[Base de financement]]-Tableau1[[#This Row],[Subvention ANRU]]-Tableau1[[#This Row],[Ville]]-Tableau1[[#This Row],[Plaine Commune]]-Tableau1[[#This Row],[Bailleurs]]-Tableau1[[#This Row],[CDC]]-Tableau1[[#This Row],[CD93]]-Tableau1[[#This Row],[CRIF]]-Tableau1[[#This Row],[Europe]]-Tableau1[[#This Row],[Autres]]</f>
        <v>0</v>
      </c>
      <c r="BL104" s="412">
        <f>S104-T104-V104-W104-Y104-Z104-AA104-AB104-AC104-AD104-AE104-AF104-AG104-AH104-AI104-AJ104-AK104-AL104-AM104-AN104-AO104-AP104-AQ104-AR104-AS104-AT104-AU104-AV104-AW104-AY104-BE104-BF104-Tableau1[[#This Row],[Ville de Pantin ]]-Tableau1[[#This Row],[Est-Ensemble ]]-Tableau1[[#This Row],[ASGO]]</f>
        <v>0</v>
      </c>
    </row>
    <row r="105" spans="1:64" ht="60" customHeight="1" x14ac:dyDescent="0.25">
      <c r="A105" s="5" t="s">
        <v>189</v>
      </c>
      <c r="B105" s="5" t="s">
        <v>405</v>
      </c>
      <c r="C105" s="14" t="s">
        <v>1252</v>
      </c>
      <c r="D105" s="5" t="s">
        <v>191</v>
      </c>
      <c r="E105" s="5" t="s">
        <v>36</v>
      </c>
      <c r="F105" s="5" t="s">
        <v>192</v>
      </c>
      <c r="G105" s="5" t="s">
        <v>197</v>
      </c>
      <c r="H105" s="404" t="s">
        <v>406</v>
      </c>
      <c r="I105" s="5" t="s">
        <v>199</v>
      </c>
      <c r="J105" s="5" t="s">
        <v>68</v>
      </c>
      <c r="K105" s="5" t="s">
        <v>69</v>
      </c>
      <c r="L105" s="5" t="s">
        <v>22</v>
      </c>
      <c r="O105" s="5" t="s">
        <v>42</v>
      </c>
      <c r="P105" s="5" t="s">
        <v>407</v>
      </c>
      <c r="Q105" s="227">
        <v>25000</v>
      </c>
      <c r="R105" s="7">
        <v>30000</v>
      </c>
      <c r="S105" s="7">
        <v>25000</v>
      </c>
      <c r="T105" s="7">
        <v>8000</v>
      </c>
      <c r="U105" s="7"/>
      <c r="V105" s="7">
        <v>0</v>
      </c>
      <c r="W105" s="7">
        <v>14000</v>
      </c>
      <c r="X105" s="7">
        <v>0</v>
      </c>
      <c r="Y105" s="7"/>
      <c r="Z105" s="7"/>
      <c r="AA105" s="7"/>
      <c r="AB105" s="7"/>
      <c r="AC105" s="7"/>
      <c r="AD105" s="7"/>
      <c r="AE105" s="7"/>
      <c r="AF105" s="7"/>
      <c r="AG105" s="7"/>
      <c r="AH105" s="7"/>
      <c r="AI105" s="7"/>
      <c r="AJ105" s="7"/>
      <c r="AK105" s="7"/>
      <c r="AL105" s="7"/>
      <c r="AM105" s="7"/>
      <c r="AN105" s="7"/>
      <c r="AO105" s="7"/>
      <c r="AP105" s="7"/>
      <c r="AQ105" s="7"/>
      <c r="AR105" s="7"/>
      <c r="AS105" s="7"/>
      <c r="AT105" s="7">
        <v>3000</v>
      </c>
      <c r="AU105" s="7">
        <v>0</v>
      </c>
      <c r="AV105" s="7">
        <v>0</v>
      </c>
      <c r="AW105" s="7">
        <v>0</v>
      </c>
      <c r="AX105" s="7">
        <v>0</v>
      </c>
      <c r="BI105" s="5">
        <v>136</v>
      </c>
      <c r="BJ105" s="5">
        <v>0</v>
      </c>
      <c r="BK105" s="5">
        <f>Tableau1[[#This Row],[Base de financement]]-Tableau1[[#This Row],[Subvention ANRU]]-Tableau1[[#This Row],[Ville]]-Tableau1[[#This Row],[Plaine Commune]]-Tableau1[[#This Row],[Bailleurs]]-Tableau1[[#This Row],[CDC]]-Tableau1[[#This Row],[CD93]]-Tableau1[[#This Row],[CRIF]]-Tableau1[[#This Row],[Europe]]-Tableau1[[#This Row],[Autres]]</f>
        <v>0</v>
      </c>
      <c r="BL105" s="412">
        <f>S105-T105-V105-W105-Y105-Z105-AA105-AB105-AC105-AD105-AE105-AF105-AG105-AH105-AI105-AJ105-AK105-AL105-AM105-AN105-AO105-AP105-AQ105-AR105-AS105-AT105-AU105-AV105-AW105-AY105-BE105-BF105-Tableau1[[#This Row],[Ville de Pantin ]]-Tableau1[[#This Row],[Est-Ensemble ]]-Tableau1[[#This Row],[ASGO]]</f>
        <v>0</v>
      </c>
    </row>
    <row r="106" spans="1:64" ht="20.100000000000001" hidden="1" customHeight="1" x14ac:dyDescent="0.25">
      <c r="A106" s="5" t="s">
        <v>189</v>
      </c>
      <c r="B106" s="5" t="s">
        <v>392</v>
      </c>
      <c r="C106" s="14" t="s">
        <v>1254</v>
      </c>
      <c r="D106" s="5" t="s">
        <v>191</v>
      </c>
      <c r="F106" s="5" t="s">
        <v>192</v>
      </c>
      <c r="H106" s="404" t="s">
        <v>393</v>
      </c>
      <c r="J106" s="5" t="s">
        <v>40</v>
      </c>
      <c r="K106" s="5" t="s">
        <v>47</v>
      </c>
      <c r="L106" s="5" t="s">
        <v>394</v>
      </c>
      <c r="O106" s="5" t="s">
        <v>42</v>
      </c>
      <c r="P106" s="5" t="s">
        <v>395</v>
      </c>
      <c r="Q106" s="227">
        <v>30000</v>
      </c>
      <c r="R106" s="7">
        <v>36000</v>
      </c>
      <c r="S106" s="7">
        <v>30000</v>
      </c>
      <c r="T106" s="7">
        <v>15000</v>
      </c>
      <c r="U106" s="7"/>
      <c r="V106" s="7">
        <v>15000</v>
      </c>
      <c r="W106" s="7">
        <v>0</v>
      </c>
      <c r="X106" s="7">
        <v>0</v>
      </c>
      <c r="Y106" s="7"/>
      <c r="Z106" s="7"/>
      <c r="AA106" s="7"/>
      <c r="AB106" s="7"/>
      <c r="AC106" s="7"/>
      <c r="AD106" s="7"/>
      <c r="AE106" s="7"/>
      <c r="AF106" s="7"/>
      <c r="AG106" s="7"/>
      <c r="AH106" s="7"/>
      <c r="AI106" s="7"/>
      <c r="AJ106" s="7"/>
      <c r="AK106" s="7"/>
      <c r="AL106" s="7"/>
      <c r="AM106" s="7"/>
      <c r="AN106" s="7"/>
      <c r="AO106" s="7"/>
      <c r="AP106" s="7"/>
      <c r="AQ106" s="7"/>
      <c r="AR106" s="7"/>
      <c r="AS106" s="7"/>
      <c r="AT106" s="7">
        <v>0</v>
      </c>
      <c r="AU106" s="7">
        <v>0</v>
      </c>
      <c r="AV106" s="7">
        <v>0</v>
      </c>
      <c r="AW106" s="7">
        <v>0</v>
      </c>
      <c r="AX106" s="7">
        <v>0</v>
      </c>
      <c r="BI106" s="5">
        <v>0</v>
      </c>
      <c r="BJ106" s="5">
        <v>0</v>
      </c>
      <c r="BK106" s="5">
        <f>Tableau1[[#This Row],[Base de financement]]-Tableau1[[#This Row],[Subvention ANRU]]-Tableau1[[#This Row],[Ville]]-Tableau1[[#This Row],[Plaine Commune]]-Tableau1[[#This Row],[Bailleurs]]-Tableau1[[#This Row],[CDC]]-Tableau1[[#This Row],[CD93]]-Tableau1[[#This Row],[CRIF]]-Tableau1[[#This Row],[Europe]]-Tableau1[[#This Row],[Autres]]</f>
        <v>0</v>
      </c>
      <c r="BL106" s="412">
        <f>S106-T106-V106-W106-Y106-Z106-AA106-AB106-AC106-AD106-AE106-AF106-AG106-AH106-AI106-AJ106-AK106-AL106-AM106-AN106-AO106-AP106-AQ106-AR106-AS106-AT106-AU106-AV106-AW106-AY106-BE106-BF106-Tableau1[[#This Row],[Ville de Pantin ]]-Tableau1[[#This Row],[Est-Ensemble ]]-Tableau1[[#This Row],[ASGO]]</f>
        <v>0</v>
      </c>
    </row>
    <row r="107" spans="1:64" ht="51" customHeight="1" x14ac:dyDescent="0.25">
      <c r="A107" s="5" t="s">
        <v>189</v>
      </c>
      <c r="B107" s="5" t="s">
        <v>396</v>
      </c>
      <c r="C107" s="14" t="s">
        <v>1258</v>
      </c>
      <c r="D107" s="5" t="s">
        <v>191</v>
      </c>
      <c r="E107" s="5" t="s">
        <v>36</v>
      </c>
      <c r="F107" s="5" t="s">
        <v>192</v>
      </c>
      <c r="H107" s="404" t="s">
        <v>397</v>
      </c>
      <c r="I107" s="5" t="s">
        <v>38</v>
      </c>
      <c r="J107" s="5" t="s">
        <v>40</v>
      </c>
      <c r="K107" s="5" t="s">
        <v>41</v>
      </c>
      <c r="L107" s="5" t="s">
        <v>22</v>
      </c>
      <c r="O107" s="5" t="s">
        <v>42</v>
      </c>
      <c r="P107" s="5" t="s">
        <v>398</v>
      </c>
      <c r="Q107" s="227">
        <v>75000</v>
      </c>
      <c r="R107" s="7">
        <v>90000</v>
      </c>
      <c r="S107" s="7">
        <v>75000</v>
      </c>
      <c r="T107" s="7">
        <v>30500</v>
      </c>
      <c r="U107" s="7"/>
      <c r="V107" s="7">
        <v>0</v>
      </c>
      <c r="W107" s="7">
        <v>35500</v>
      </c>
      <c r="X107" s="7">
        <v>0</v>
      </c>
      <c r="Y107" s="7"/>
      <c r="Z107" s="7"/>
      <c r="AA107" s="7"/>
      <c r="AB107" s="7"/>
      <c r="AC107" s="7"/>
      <c r="AD107" s="7"/>
      <c r="AE107" s="7"/>
      <c r="AF107" s="7"/>
      <c r="AG107" s="7"/>
      <c r="AH107" s="7"/>
      <c r="AI107" s="7"/>
      <c r="AJ107" s="7"/>
      <c r="AK107" s="7"/>
      <c r="AL107" s="7"/>
      <c r="AM107" s="7"/>
      <c r="AN107" s="7"/>
      <c r="AO107" s="7"/>
      <c r="AP107" s="7"/>
      <c r="AQ107" s="7"/>
      <c r="AR107" s="7"/>
      <c r="AS107" s="7"/>
      <c r="AT107" s="7">
        <v>9000</v>
      </c>
      <c r="AU107" s="7">
        <v>0</v>
      </c>
      <c r="AV107" s="7">
        <v>0</v>
      </c>
      <c r="AW107" s="7">
        <v>0</v>
      </c>
      <c r="AX107" s="7">
        <v>0</v>
      </c>
      <c r="BG107" s="8">
        <v>42461</v>
      </c>
      <c r="BH107" s="5">
        <v>20</v>
      </c>
      <c r="BI107" s="5">
        <v>0</v>
      </c>
      <c r="BJ107" s="5">
        <v>0</v>
      </c>
      <c r="BK107" s="5">
        <f>Tableau1[[#This Row],[Base de financement]]-Tableau1[[#This Row],[Subvention ANRU]]-Tableau1[[#This Row],[Ville]]-Tableau1[[#This Row],[Plaine Commune]]-Tableau1[[#This Row],[Bailleurs]]-Tableau1[[#This Row],[CDC]]-Tableau1[[#This Row],[CD93]]-Tableau1[[#This Row],[CRIF]]-Tableau1[[#This Row],[Europe]]-Tableau1[[#This Row],[Autres]]</f>
        <v>0</v>
      </c>
      <c r="BL107" s="412">
        <f>S107-T107-V107-W107-Y107-Z107-AA107-AB107-AC107-AD107-AE107-AF107-AG107-AH107-AI107-AJ107-AK107-AL107-AM107-AN107-AO107-AP107-AQ107-AR107-AS107-AT107-AU107-AV107-AW107-AY107-BE107-BF107-Tableau1[[#This Row],[Ville de Pantin ]]-Tableau1[[#This Row],[Est-Ensemble ]]-Tableau1[[#This Row],[ASGO]]</f>
        <v>0</v>
      </c>
    </row>
    <row r="108" spans="1:64" ht="20.100000000000001" hidden="1" customHeight="1" x14ac:dyDescent="0.25">
      <c r="A108" s="5" t="s">
        <v>189</v>
      </c>
      <c r="B108" s="5" t="s">
        <v>399</v>
      </c>
      <c r="C108" s="14" t="s">
        <v>1259</v>
      </c>
      <c r="D108" s="5" t="s">
        <v>191</v>
      </c>
      <c r="F108" s="5" t="s">
        <v>192</v>
      </c>
      <c r="H108" s="404" t="s">
        <v>400</v>
      </c>
      <c r="J108" s="5" t="s">
        <v>113</v>
      </c>
      <c r="K108" s="5" t="s">
        <v>113</v>
      </c>
      <c r="L108" s="5" t="s">
        <v>394</v>
      </c>
      <c r="O108" s="5" t="s">
        <v>42</v>
      </c>
      <c r="P108" s="5" t="s">
        <v>401</v>
      </c>
      <c r="Q108" s="227">
        <v>25000</v>
      </c>
      <c r="R108" s="7">
        <v>30000</v>
      </c>
      <c r="S108" s="7">
        <v>25000</v>
      </c>
      <c r="T108" s="7">
        <v>0</v>
      </c>
      <c r="U108" s="7"/>
      <c r="V108" s="7">
        <v>25000</v>
      </c>
      <c r="W108" s="7">
        <v>0</v>
      </c>
      <c r="X108" s="7">
        <v>0</v>
      </c>
      <c r="Y108" s="7"/>
      <c r="Z108" s="7"/>
      <c r="AA108" s="7"/>
      <c r="AB108" s="7"/>
      <c r="AC108" s="7"/>
      <c r="AD108" s="7"/>
      <c r="AE108" s="7"/>
      <c r="AF108" s="7"/>
      <c r="AG108" s="7"/>
      <c r="AH108" s="7"/>
      <c r="AI108" s="7"/>
      <c r="AJ108" s="7"/>
      <c r="AK108" s="7"/>
      <c r="AL108" s="7"/>
      <c r="AM108" s="7"/>
      <c r="AN108" s="7"/>
      <c r="AO108" s="7"/>
      <c r="AP108" s="7"/>
      <c r="AQ108" s="7"/>
      <c r="AR108" s="7"/>
      <c r="AS108" s="7"/>
      <c r="AT108" s="7">
        <v>0</v>
      </c>
      <c r="AU108" s="7">
        <v>0</v>
      </c>
      <c r="AV108" s="7">
        <v>0</v>
      </c>
      <c r="AW108" s="7">
        <v>0</v>
      </c>
      <c r="AX108" s="7">
        <v>0</v>
      </c>
      <c r="BI108" s="5">
        <v>0</v>
      </c>
      <c r="BJ108" s="5">
        <v>0</v>
      </c>
      <c r="BK108" s="5">
        <f>Tableau1[[#This Row],[Base de financement]]-Tableau1[[#This Row],[Subvention ANRU]]-Tableau1[[#This Row],[Ville]]-Tableau1[[#This Row],[Plaine Commune]]-Tableau1[[#This Row],[Bailleurs]]-Tableau1[[#This Row],[CDC]]-Tableau1[[#This Row],[CD93]]-Tableau1[[#This Row],[CRIF]]-Tableau1[[#This Row],[Europe]]-Tableau1[[#This Row],[Autres]]</f>
        <v>0</v>
      </c>
      <c r="BL108" s="412">
        <f>S108-T108-V108-W108-Y108-Z108-AA108-AB108-AC108-AD108-AE108-AF108-AG108-AH108-AI108-AJ108-AK108-AL108-AM108-AN108-AO108-AP108-AQ108-AR108-AS108-AT108-AU108-AV108-AW108-AY108-BE108-BF108-Tableau1[[#This Row],[Ville de Pantin ]]-Tableau1[[#This Row],[Est-Ensemble ]]-Tableau1[[#This Row],[ASGO]]</f>
        <v>0</v>
      </c>
    </row>
    <row r="109" spans="1:64" ht="20.100000000000001" hidden="1" customHeight="1" x14ac:dyDescent="0.25">
      <c r="A109" s="5" t="s">
        <v>189</v>
      </c>
      <c r="B109" s="5" t="s">
        <v>725</v>
      </c>
      <c r="C109" s="14" t="s">
        <v>1260</v>
      </c>
      <c r="D109" s="5" t="s">
        <v>191</v>
      </c>
      <c r="E109" s="5" t="s">
        <v>456</v>
      </c>
      <c r="G109" s="5" t="s">
        <v>1261</v>
      </c>
      <c r="H109" s="404" t="s">
        <v>726</v>
      </c>
      <c r="I109" s="5" t="s">
        <v>727</v>
      </c>
      <c r="J109" s="5" t="s">
        <v>68</v>
      </c>
      <c r="K109" s="5" t="s">
        <v>69</v>
      </c>
      <c r="L109" s="5" t="s">
        <v>456</v>
      </c>
      <c r="O109" s="5" t="s">
        <v>42</v>
      </c>
      <c r="P109" s="5" t="s">
        <v>385</v>
      </c>
      <c r="Q109" s="227">
        <v>30000</v>
      </c>
      <c r="R109" s="7">
        <v>36000</v>
      </c>
      <c r="S109" s="7">
        <v>30000</v>
      </c>
      <c r="T109" s="7">
        <v>15000</v>
      </c>
      <c r="U109" s="7"/>
      <c r="V109" s="7">
        <v>0</v>
      </c>
      <c r="W109" s="7">
        <v>0</v>
      </c>
      <c r="X109" s="7">
        <v>15000</v>
      </c>
      <c r="Y109" s="7"/>
      <c r="Z109" s="7"/>
      <c r="AA109" s="7"/>
      <c r="AB109" s="7"/>
      <c r="AC109" s="7"/>
      <c r="AD109" s="7"/>
      <c r="AE109" s="7"/>
      <c r="AF109" s="7"/>
      <c r="AG109" s="7"/>
      <c r="AH109" s="7">
        <v>15000</v>
      </c>
      <c r="AI109" s="7"/>
      <c r="AJ109" s="7"/>
      <c r="AK109" s="7"/>
      <c r="AL109" s="7"/>
      <c r="AM109" s="7"/>
      <c r="AN109" s="7"/>
      <c r="AO109" s="7"/>
      <c r="AP109" s="7"/>
      <c r="AQ109" s="7"/>
      <c r="AR109" s="7"/>
      <c r="AS109" s="7"/>
      <c r="AT109" s="7"/>
      <c r="AU109" s="7">
        <v>0</v>
      </c>
      <c r="AV109" s="7">
        <v>0</v>
      </c>
      <c r="AW109" s="7">
        <v>0</v>
      </c>
      <c r="AX109" s="7">
        <v>0</v>
      </c>
      <c r="BG109" s="8">
        <v>42461</v>
      </c>
      <c r="BH109" s="5">
        <v>4</v>
      </c>
      <c r="BI109" s="5">
        <v>373</v>
      </c>
      <c r="BJ109" s="5">
        <v>0</v>
      </c>
      <c r="BK109" s="5">
        <f>Tableau1[[#This Row],[Base de financement]]-Tableau1[[#This Row],[Subvention ANRU]]-Tableau1[[#This Row],[Ville]]-Tableau1[[#This Row],[Plaine Commune]]-Tableau1[[#This Row],[Bailleurs]]-Tableau1[[#This Row],[CDC]]-Tableau1[[#This Row],[CD93]]-Tableau1[[#This Row],[CRIF]]-Tableau1[[#This Row],[Europe]]-Tableau1[[#This Row],[Autres]]</f>
        <v>0</v>
      </c>
      <c r="BL109" s="412">
        <f>S109-T109-V109-W109-Y109-Z109-AA109-AB109-AC109-AD109-AE109-AF109-AG109-AH109-AI109-AJ109-AK109-AL109-AM109-AN109-AO109-AP109-AQ109-AR109-AS109-AT109-AU109-AV109-AW109-AY109-BE109-BF109-Tableau1[[#This Row],[Ville de Pantin ]]-Tableau1[[#This Row],[Est-Ensemble ]]-Tableau1[[#This Row],[ASGO]]</f>
        <v>0</v>
      </c>
    </row>
    <row r="110" spans="1:64" ht="20.100000000000001" hidden="1" customHeight="1" x14ac:dyDescent="0.25">
      <c r="A110" s="5" t="s">
        <v>189</v>
      </c>
      <c r="B110" s="5" t="s">
        <v>752</v>
      </c>
      <c r="C110" s="14" t="s">
        <v>1260</v>
      </c>
      <c r="D110" s="5" t="s">
        <v>191</v>
      </c>
      <c r="E110" s="5" t="s">
        <v>456</v>
      </c>
      <c r="G110" s="5" t="s">
        <v>1261</v>
      </c>
      <c r="H110" s="404" t="s">
        <v>738</v>
      </c>
      <c r="I110" s="5" t="s">
        <v>738</v>
      </c>
      <c r="J110" s="5" t="s">
        <v>53</v>
      </c>
      <c r="K110" s="5" t="s">
        <v>69</v>
      </c>
      <c r="L110" s="5" t="s">
        <v>456</v>
      </c>
      <c r="O110" s="5" t="s">
        <v>42</v>
      </c>
      <c r="P110" s="5" t="s">
        <v>739</v>
      </c>
      <c r="Q110" s="227">
        <v>50000</v>
      </c>
      <c r="R110" s="7">
        <v>60000</v>
      </c>
      <c r="S110" s="7">
        <v>50000</v>
      </c>
      <c r="T110" s="7">
        <v>25000</v>
      </c>
      <c r="U110" s="7"/>
      <c r="V110" s="7">
        <v>0</v>
      </c>
      <c r="W110" s="7">
        <v>0</v>
      </c>
      <c r="X110" s="7">
        <v>25000</v>
      </c>
      <c r="Y110" s="7"/>
      <c r="Z110" s="7"/>
      <c r="AA110" s="7"/>
      <c r="AB110" s="7"/>
      <c r="AC110" s="7"/>
      <c r="AD110" s="7"/>
      <c r="AE110" s="7"/>
      <c r="AF110" s="7"/>
      <c r="AG110" s="7"/>
      <c r="AH110" s="7">
        <v>25000</v>
      </c>
      <c r="AI110" s="7"/>
      <c r="AJ110" s="7"/>
      <c r="AK110" s="7"/>
      <c r="AL110" s="7"/>
      <c r="AM110" s="7"/>
      <c r="AN110" s="7"/>
      <c r="AO110" s="7"/>
      <c r="AP110" s="7"/>
      <c r="AQ110" s="7"/>
      <c r="AR110" s="7"/>
      <c r="AS110" s="7"/>
      <c r="AT110" s="7">
        <v>0</v>
      </c>
      <c r="AU110" s="7">
        <v>0</v>
      </c>
      <c r="AV110" s="7">
        <v>0</v>
      </c>
      <c r="AW110" s="7">
        <v>0</v>
      </c>
      <c r="AX110" s="7">
        <v>0</v>
      </c>
      <c r="BI110" s="5">
        <v>373</v>
      </c>
      <c r="BJ110" s="5">
        <v>0</v>
      </c>
      <c r="BK110" s="5">
        <f>Tableau1[[#This Row],[Base de financement]]-Tableau1[[#This Row],[Subvention ANRU]]-Tableau1[[#This Row],[Ville]]-Tableau1[[#This Row],[Plaine Commune]]-Tableau1[[#This Row],[Bailleurs]]-Tableau1[[#This Row],[CDC]]-Tableau1[[#This Row],[CD93]]-Tableau1[[#This Row],[CRIF]]-Tableau1[[#This Row],[Europe]]-Tableau1[[#This Row],[Autres]]</f>
        <v>0</v>
      </c>
      <c r="BL110" s="412">
        <f>S110-T110-V110-W110-Y110-Z110-AA110-AB110-AC110-AD110-AE110-AF110-AG110-AH110-AI110-AJ110-AK110-AL110-AM110-AN110-AO110-AP110-AQ110-AR110-AS110-AT110-AU110-AV110-AW110-AY110-BE110-BF110-Tableau1[[#This Row],[Ville de Pantin ]]-Tableau1[[#This Row],[Est-Ensemble ]]-Tableau1[[#This Row],[ASGO]]</f>
        <v>0</v>
      </c>
    </row>
    <row r="111" spans="1:64" ht="20.100000000000001" hidden="1" customHeight="1" x14ac:dyDescent="0.25">
      <c r="A111" s="5" t="s">
        <v>189</v>
      </c>
      <c r="B111" s="5" t="s">
        <v>408</v>
      </c>
      <c r="C111" s="14" t="s">
        <v>1255</v>
      </c>
      <c r="D111" s="5" t="s">
        <v>409</v>
      </c>
      <c r="H111" s="404" t="s">
        <v>410</v>
      </c>
      <c r="J111" s="5" t="s">
        <v>68</v>
      </c>
      <c r="K111" s="5" t="s">
        <v>69</v>
      </c>
      <c r="L111" s="5" t="s">
        <v>411</v>
      </c>
      <c r="O111" s="5" t="s">
        <v>42</v>
      </c>
      <c r="P111" s="5" t="s">
        <v>412</v>
      </c>
      <c r="Q111" s="227">
        <v>0</v>
      </c>
      <c r="R111" s="7">
        <v>0</v>
      </c>
      <c r="S111" s="7">
        <v>0</v>
      </c>
      <c r="T111" s="7"/>
      <c r="U111" s="7" t="s">
        <v>777</v>
      </c>
      <c r="V111" s="7">
        <v>0</v>
      </c>
      <c r="W111" s="7">
        <v>0</v>
      </c>
      <c r="X111" s="7">
        <v>0</v>
      </c>
      <c r="Y111" s="7"/>
      <c r="Z111" s="7"/>
      <c r="AA111" s="7"/>
      <c r="AB111" s="7"/>
      <c r="AC111" s="7"/>
      <c r="AD111" s="7"/>
      <c r="AE111" s="7"/>
      <c r="AF111" s="7"/>
      <c r="AG111" s="7"/>
      <c r="AH111" s="7"/>
      <c r="AI111" s="7"/>
      <c r="AJ111" s="7"/>
      <c r="AK111" s="7"/>
      <c r="AL111" s="7"/>
      <c r="AM111" s="7"/>
      <c r="AN111" s="7"/>
      <c r="AO111" s="7"/>
      <c r="AP111" s="7"/>
      <c r="AQ111" s="7"/>
      <c r="AR111" s="7"/>
      <c r="AS111" s="7"/>
      <c r="AT111" s="7">
        <v>0</v>
      </c>
      <c r="AU111" s="7">
        <v>0</v>
      </c>
      <c r="AV111" s="7">
        <v>0</v>
      </c>
      <c r="AW111" s="7">
        <v>0</v>
      </c>
      <c r="AX111" s="7">
        <v>0</v>
      </c>
      <c r="BG111" s="8">
        <v>42614</v>
      </c>
      <c r="BI111" s="5">
        <v>120</v>
      </c>
      <c r="BJ111" s="5">
        <v>0</v>
      </c>
      <c r="BK111" s="5">
        <f>Tableau1[[#This Row],[Base de financement]]-Tableau1[[#This Row],[Subvention ANRU]]-Tableau1[[#This Row],[Ville]]-Tableau1[[#This Row],[Plaine Commune]]-Tableau1[[#This Row],[Bailleurs]]-Tableau1[[#This Row],[CDC]]-Tableau1[[#This Row],[CD93]]-Tableau1[[#This Row],[CRIF]]-Tableau1[[#This Row],[Europe]]-Tableau1[[#This Row],[Autres]]</f>
        <v>0</v>
      </c>
      <c r="BL111" s="412">
        <f>S111-T111-V111-W111-Y111-Z111-AA111-AB111-AC111-AD111-AE111-AF111-AG111-AH111-AI111-AJ111-AK111-AL111-AM111-AN111-AO111-AP111-AQ111-AR111-AS111-AT111-AU111-AV111-AW111-AY111-BE111-BF111-Tableau1[[#This Row],[Ville de Pantin ]]-Tableau1[[#This Row],[Est-Ensemble ]]-Tableau1[[#This Row],[ASGO]]</f>
        <v>0</v>
      </c>
    </row>
    <row r="112" spans="1:64" ht="20.100000000000001" hidden="1" customHeight="1" x14ac:dyDescent="0.25">
      <c r="A112" s="5" t="s">
        <v>189</v>
      </c>
      <c r="B112" s="5" t="s">
        <v>413</v>
      </c>
      <c r="C112" s="14" t="s">
        <v>1256</v>
      </c>
      <c r="D112" s="5" t="s">
        <v>409</v>
      </c>
      <c r="H112" s="404" t="s">
        <v>414</v>
      </c>
      <c r="J112" s="5" t="s">
        <v>68</v>
      </c>
      <c r="K112" s="5" t="s">
        <v>69</v>
      </c>
      <c r="L112" s="5" t="s">
        <v>411</v>
      </c>
      <c r="O112" s="5" t="s">
        <v>42</v>
      </c>
      <c r="P112" s="5" t="s">
        <v>415</v>
      </c>
      <c r="Q112" s="227">
        <v>0</v>
      </c>
      <c r="R112" s="7">
        <v>0</v>
      </c>
      <c r="S112" s="7">
        <v>0</v>
      </c>
      <c r="T112" s="7">
        <v>0</v>
      </c>
      <c r="U112" s="7" t="s">
        <v>778</v>
      </c>
      <c r="V112" s="7">
        <v>0</v>
      </c>
      <c r="W112" s="7">
        <v>0</v>
      </c>
      <c r="X112" s="7">
        <v>0</v>
      </c>
      <c r="Y112" s="7"/>
      <c r="Z112" s="7"/>
      <c r="AA112" s="7"/>
      <c r="AB112" s="7"/>
      <c r="AC112" s="7"/>
      <c r="AD112" s="7"/>
      <c r="AE112" s="7"/>
      <c r="AF112" s="7"/>
      <c r="AG112" s="7"/>
      <c r="AH112" s="7"/>
      <c r="AI112" s="7"/>
      <c r="AJ112" s="7"/>
      <c r="AK112" s="7"/>
      <c r="AL112" s="7"/>
      <c r="AM112" s="7"/>
      <c r="AN112" s="7"/>
      <c r="AO112" s="7"/>
      <c r="AP112" s="7"/>
      <c r="AQ112" s="7"/>
      <c r="AR112" s="7"/>
      <c r="AS112" s="7"/>
      <c r="AT112" s="7">
        <v>0</v>
      </c>
      <c r="AU112" s="7">
        <v>0</v>
      </c>
      <c r="AV112" s="7">
        <v>0</v>
      </c>
      <c r="AW112" s="7">
        <v>0</v>
      </c>
      <c r="AX112" s="7">
        <v>0</v>
      </c>
      <c r="BI112" s="5">
        <v>120</v>
      </c>
      <c r="BJ112" s="5">
        <v>0</v>
      </c>
      <c r="BK112" s="5">
        <f>Tableau1[[#This Row],[Base de financement]]-Tableau1[[#This Row],[Subvention ANRU]]-Tableau1[[#This Row],[Ville]]-Tableau1[[#This Row],[Plaine Commune]]-Tableau1[[#This Row],[Bailleurs]]-Tableau1[[#This Row],[CDC]]-Tableau1[[#This Row],[CD93]]-Tableau1[[#This Row],[CRIF]]-Tableau1[[#This Row],[Europe]]-Tableau1[[#This Row],[Autres]]</f>
        <v>0</v>
      </c>
      <c r="BL112" s="412">
        <f>S112-T112-V112-W112-Y112-Z112-AA112-AB112-AC112-AD112-AE112-AF112-AG112-AH112-AI112-AJ112-AK112-AL112-AM112-AN112-AO112-AP112-AQ112-AR112-AS112-AT112-AU112-AV112-AW112-AY112-BE112-BF112-Tableau1[[#This Row],[Ville de Pantin ]]-Tableau1[[#This Row],[Est-Ensemble ]]-Tableau1[[#This Row],[ASGO]]</f>
        <v>0</v>
      </c>
    </row>
    <row r="113" spans="1:64" ht="20.100000000000001" customHeight="1" x14ac:dyDescent="0.25">
      <c r="A113" s="5" t="s">
        <v>189</v>
      </c>
      <c r="B113" s="5" t="s">
        <v>416</v>
      </c>
      <c r="C113" s="14" t="s">
        <v>1257</v>
      </c>
      <c r="D113" s="5" t="s">
        <v>409</v>
      </c>
      <c r="H113" s="404" t="s">
        <v>38</v>
      </c>
      <c r="I113" s="5" t="s">
        <v>38</v>
      </c>
      <c r="J113" s="5" t="s">
        <v>40</v>
      </c>
      <c r="K113" s="5" t="s">
        <v>41</v>
      </c>
      <c r="L113" s="5" t="s">
        <v>22</v>
      </c>
      <c r="O113" s="5" t="s">
        <v>42</v>
      </c>
      <c r="P113" s="5" t="s">
        <v>417</v>
      </c>
      <c r="Q113" s="227">
        <v>7500</v>
      </c>
      <c r="R113" s="7">
        <v>0</v>
      </c>
      <c r="S113" s="7">
        <v>7500</v>
      </c>
      <c r="T113" s="7">
        <v>0</v>
      </c>
      <c r="U113" s="7" t="s">
        <v>1045</v>
      </c>
      <c r="V113" s="7">
        <v>0</v>
      </c>
      <c r="W113" s="7">
        <v>5000</v>
      </c>
      <c r="X113" s="7">
        <v>0</v>
      </c>
      <c r="Y113" s="7"/>
      <c r="Z113" s="7"/>
      <c r="AA113" s="7"/>
      <c r="AB113" s="7"/>
      <c r="AC113" s="7"/>
      <c r="AD113" s="7"/>
      <c r="AE113" s="7"/>
      <c r="AF113" s="7"/>
      <c r="AG113" s="7"/>
      <c r="AH113" s="7"/>
      <c r="AI113" s="7"/>
      <c r="AJ113" s="7"/>
      <c r="AK113" s="7"/>
      <c r="AL113" s="7"/>
      <c r="AM113" s="7"/>
      <c r="AN113" s="7"/>
      <c r="AO113" s="7"/>
      <c r="AP113" s="7"/>
      <c r="AQ113" s="7"/>
      <c r="AR113" s="7"/>
      <c r="AS113" s="7"/>
      <c r="AT113" s="7">
        <v>1500</v>
      </c>
      <c r="AU113" s="7">
        <v>0</v>
      </c>
      <c r="AV113" s="7">
        <v>0</v>
      </c>
      <c r="AW113" s="7">
        <v>0</v>
      </c>
      <c r="AX113" s="7">
        <v>0</v>
      </c>
      <c r="BG113" s="8">
        <v>42461</v>
      </c>
      <c r="BI113" s="5">
        <v>0</v>
      </c>
      <c r="BJ113" s="5">
        <v>0</v>
      </c>
      <c r="BK113" s="5"/>
      <c r="BL113" s="412"/>
    </row>
    <row r="114" spans="1:64" ht="33" customHeight="1" x14ac:dyDescent="0.25">
      <c r="A114" s="5" t="s">
        <v>418</v>
      </c>
      <c r="B114" s="5" t="s">
        <v>419</v>
      </c>
      <c r="C114" s="14" t="s">
        <v>1262</v>
      </c>
      <c r="D114" s="5" t="s">
        <v>1024</v>
      </c>
      <c r="E114" s="5" t="s">
        <v>36</v>
      </c>
      <c r="F114" s="5" t="s">
        <v>420</v>
      </c>
      <c r="G114" s="5" t="s">
        <v>421</v>
      </c>
      <c r="H114" s="404" t="s">
        <v>422</v>
      </c>
      <c r="I114" s="5" t="s">
        <v>423</v>
      </c>
      <c r="J114" s="5" t="s">
        <v>40</v>
      </c>
      <c r="K114" s="5" t="s">
        <v>41</v>
      </c>
      <c r="L114" s="5" t="s">
        <v>22</v>
      </c>
      <c r="O114" s="5" t="s">
        <v>42</v>
      </c>
      <c r="P114" s="5" t="s">
        <v>424</v>
      </c>
      <c r="Q114" s="227">
        <f>Tableau1[[#This Row],[Plaine Commune]]+Tableau1[[#This Row],[CDC]]</f>
        <v>68523</v>
      </c>
      <c r="R114" s="7">
        <f>Tableau1[[#This Row],[Coût HT]]*1.2</f>
        <v>82227.599999999991</v>
      </c>
      <c r="S114" s="7">
        <f>Tableau1[[#This Row],[Coût HT]]</f>
        <v>68523</v>
      </c>
      <c r="T114" s="7">
        <v>0</v>
      </c>
      <c r="U114" s="7" t="s">
        <v>425</v>
      </c>
      <c r="V114" s="7">
        <v>0</v>
      </c>
      <c r="W114" s="7">
        <v>44745</v>
      </c>
      <c r="X114" s="7">
        <v>0</v>
      </c>
      <c r="Y114" s="7"/>
      <c r="Z114" s="7"/>
      <c r="AA114" s="7"/>
      <c r="AB114" s="7"/>
      <c r="AC114" s="7"/>
      <c r="AD114" s="7"/>
      <c r="AE114" s="7"/>
      <c r="AF114" s="7"/>
      <c r="AG114" s="7"/>
      <c r="AH114" s="7"/>
      <c r="AI114" s="7"/>
      <c r="AJ114" s="7"/>
      <c r="AK114" s="7"/>
      <c r="AL114" s="7"/>
      <c r="AM114" s="7"/>
      <c r="AN114" s="7"/>
      <c r="AO114" s="7"/>
      <c r="AP114" s="7"/>
      <c r="AQ114" s="7"/>
      <c r="AR114" s="7"/>
      <c r="AS114" s="7"/>
      <c r="AT114" s="7">
        <v>23778</v>
      </c>
      <c r="AU114" s="7">
        <v>0</v>
      </c>
      <c r="AV114" s="7">
        <v>0</v>
      </c>
      <c r="AW114" s="7">
        <v>0</v>
      </c>
      <c r="AX114" s="7">
        <v>0</v>
      </c>
      <c r="BG114" s="8">
        <v>42430</v>
      </c>
      <c r="BH114" s="5">
        <v>6</v>
      </c>
      <c r="BI114" s="5">
        <v>0</v>
      </c>
      <c r="BJ114" s="5">
        <v>0</v>
      </c>
      <c r="BK114" s="5">
        <f>Tableau1[[#This Row],[Base de financement]]-Tableau1[[#This Row],[Subvention ANRU]]-Tableau1[[#This Row],[Ville]]-Tableau1[[#This Row],[Plaine Commune]]-Tableau1[[#This Row],[Bailleurs]]-Tableau1[[#This Row],[CDC]]-Tableau1[[#This Row],[CD93]]-Tableau1[[#This Row],[CRIF]]-Tableau1[[#This Row],[Europe]]-Tableau1[[#This Row],[Autres]]</f>
        <v>0</v>
      </c>
      <c r="BL114" s="412">
        <f>S114-T114-V114-W114-Y114-Z114-AA114-AB114-AC114-AD114-AE114-AF114-AG114-AH114-AI114-AJ114-AK114-AL114-AM114-AN114-AO114-AP114-AQ114-AR114-AS114-AT114-AU114-AV114-AW114-AY114-BE114-BF114-Tableau1[[#This Row],[Ville de Pantin ]]-Tableau1[[#This Row],[Est-Ensemble ]]-Tableau1[[#This Row],[ASGO]]</f>
        <v>0</v>
      </c>
    </row>
    <row r="115" spans="1:64" ht="20.100000000000001" customHeight="1" x14ac:dyDescent="0.25">
      <c r="A115" s="5" t="s">
        <v>418</v>
      </c>
      <c r="B115" s="5" t="s">
        <v>431</v>
      </c>
      <c r="C115" s="14" t="s">
        <v>1262</v>
      </c>
      <c r="D115" s="5" t="s">
        <v>1024</v>
      </c>
      <c r="E115" s="5" t="s">
        <v>36</v>
      </c>
      <c r="F115" s="5" t="s">
        <v>420</v>
      </c>
      <c r="G115" s="5" t="s">
        <v>421</v>
      </c>
      <c r="H115" s="404" t="s">
        <v>432</v>
      </c>
      <c r="I115" s="5" t="s">
        <v>423</v>
      </c>
      <c r="J115" s="5" t="s">
        <v>40</v>
      </c>
      <c r="K115" s="5" t="s">
        <v>61</v>
      </c>
      <c r="L115" s="5" t="s">
        <v>22</v>
      </c>
      <c r="O115" s="5" t="s">
        <v>42</v>
      </c>
      <c r="P115" s="5" t="s">
        <v>433</v>
      </c>
      <c r="Q115" s="227">
        <v>30000</v>
      </c>
      <c r="R115" s="7">
        <v>36000</v>
      </c>
      <c r="S115" s="7">
        <v>30000</v>
      </c>
      <c r="T115" s="7">
        <v>15000</v>
      </c>
      <c r="U115" s="7" t="s">
        <v>1043</v>
      </c>
      <c r="V115" s="7">
        <v>0</v>
      </c>
      <c r="W115" s="7">
        <v>15000</v>
      </c>
      <c r="X115" s="7">
        <v>0</v>
      </c>
      <c r="Y115" s="7"/>
      <c r="Z115" s="7"/>
      <c r="AA115" s="7"/>
      <c r="AB115" s="7"/>
      <c r="AC115" s="7"/>
      <c r="AD115" s="7"/>
      <c r="AE115" s="7"/>
      <c r="AF115" s="7"/>
      <c r="AG115" s="7"/>
      <c r="AH115" s="7"/>
      <c r="AI115" s="7"/>
      <c r="AJ115" s="7"/>
      <c r="AK115" s="7"/>
      <c r="AL115" s="7"/>
      <c r="AM115" s="7"/>
      <c r="AN115" s="7"/>
      <c r="AO115" s="7"/>
      <c r="AP115" s="7"/>
      <c r="AQ115" s="7"/>
      <c r="AR115" s="7"/>
      <c r="AS115" s="7"/>
      <c r="AT115" s="7">
        <v>0</v>
      </c>
      <c r="AU115" s="7">
        <v>0</v>
      </c>
      <c r="AV115" s="7">
        <v>0</v>
      </c>
      <c r="AW115" s="7">
        <v>0</v>
      </c>
      <c r="AX115" s="7">
        <v>0</v>
      </c>
      <c r="BG115" s="8">
        <v>42445</v>
      </c>
      <c r="BH115" s="5">
        <v>5</v>
      </c>
      <c r="BI115" s="5">
        <v>0</v>
      </c>
      <c r="BJ115" s="5">
        <v>0</v>
      </c>
      <c r="BK115" s="5">
        <f>Tableau1[[#This Row],[Base de financement]]-Tableau1[[#This Row],[Subvention ANRU]]-Tableau1[[#This Row],[Ville]]-Tableau1[[#This Row],[Plaine Commune]]-Tableau1[[#This Row],[Bailleurs]]-Tableau1[[#This Row],[CDC]]-Tableau1[[#This Row],[CD93]]-Tableau1[[#This Row],[CRIF]]-Tableau1[[#This Row],[Europe]]-Tableau1[[#This Row],[Autres]]</f>
        <v>0</v>
      </c>
      <c r="BL115" s="412">
        <f>S115-T115-V115-W115-Y115-Z115-AA115-AB115-AC115-AD115-AE115-AF115-AG115-AH115-AI115-AJ115-AK115-AL115-AM115-AN115-AO115-AP115-AQ115-AR115-AS115-AT115-AU115-AV115-AW115-AY115-BE115-BF115-Tableau1[[#This Row],[Ville de Pantin ]]-Tableau1[[#This Row],[Est-Ensemble ]]-Tableau1[[#This Row],[ASGO]]</f>
        <v>0</v>
      </c>
    </row>
    <row r="116" spans="1:64" ht="20.100000000000001" customHeight="1" x14ac:dyDescent="0.25">
      <c r="A116" s="5" t="s">
        <v>418</v>
      </c>
      <c r="B116" s="5" t="s">
        <v>443</v>
      </c>
      <c r="C116" s="14" t="s">
        <v>1262</v>
      </c>
      <c r="D116" s="5" t="s">
        <v>1024</v>
      </c>
      <c r="E116" s="5" t="s">
        <v>36</v>
      </c>
      <c r="F116" s="5" t="s">
        <v>420</v>
      </c>
      <c r="G116" s="5" t="s">
        <v>421</v>
      </c>
      <c r="H116" s="404" t="s">
        <v>444</v>
      </c>
      <c r="I116" s="5" t="s">
        <v>423</v>
      </c>
      <c r="J116" s="5" t="s">
        <v>40</v>
      </c>
      <c r="K116" s="5" t="s">
        <v>41</v>
      </c>
      <c r="L116" s="5" t="s">
        <v>22</v>
      </c>
      <c r="O116" s="5" t="s">
        <v>42</v>
      </c>
      <c r="P116" s="5" t="s">
        <v>445</v>
      </c>
      <c r="Q116" s="227">
        <v>70000</v>
      </c>
      <c r="R116" s="7">
        <v>84000</v>
      </c>
      <c r="S116" s="7">
        <v>70000</v>
      </c>
      <c r="T116" s="7">
        <v>30000</v>
      </c>
      <c r="U116" s="7" t="s">
        <v>1044</v>
      </c>
      <c r="V116" s="7">
        <v>0</v>
      </c>
      <c r="W116" s="7">
        <v>35000</v>
      </c>
      <c r="X116" s="7">
        <v>0</v>
      </c>
      <c r="Y116" s="7"/>
      <c r="Z116" s="7"/>
      <c r="AA116" s="7"/>
      <c r="AB116" s="7"/>
      <c r="AC116" s="7"/>
      <c r="AD116" s="7"/>
      <c r="AE116" s="7"/>
      <c r="AF116" s="7"/>
      <c r="AG116" s="7"/>
      <c r="AH116" s="7"/>
      <c r="AI116" s="7"/>
      <c r="AJ116" s="7"/>
      <c r="AK116" s="7"/>
      <c r="AL116" s="7"/>
      <c r="AM116" s="7"/>
      <c r="AN116" s="7"/>
      <c r="AO116" s="7"/>
      <c r="AP116" s="7"/>
      <c r="AQ116" s="7"/>
      <c r="AR116" s="7"/>
      <c r="AS116" s="7"/>
      <c r="AT116" s="7">
        <v>5000</v>
      </c>
      <c r="AU116" s="7">
        <v>0</v>
      </c>
      <c r="AV116" s="7">
        <v>0</v>
      </c>
      <c r="AW116" s="7">
        <v>0</v>
      </c>
      <c r="AX116" s="7">
        <v>0</v>
      </c>
      <c r="BG116" s="8">
        <v>42445</v>
      </c>
      <c r="BH116" s="5">
        <v>12</v>
      </c>
      <c r="BI116" s="5">
        <v>0</v>
      </c>
      <c r="BJ116" s="5">
        <v>0</v>
      </c>
      <c r="BK116" s="5">
        <f>Tableau1[[#This Row],[Base de financement]]-Tableau1[[#This Row],[Subvention ANRU]]-Tableau1[[#This Row],[Ville]]-Tableau1[[#This Row],[Plaine Commune]]-Tableau1[[#This Row],[Bailleurs]]-Tableau1[[#This Row],[CDC]]-Tableau1[[#This Row],[CD93]]-Tableau1[[#This Row],[CRIF]]-Tableau1[[#This Row],[Europe]]-Tableau1[[#This Row],[Autres]]</f>
        <v>0</v>
      </c>
      <c r="BL116" s="412">
        <f>S116-T116-V116-W116-Y116-Z116-AA116-AB116-AC116-AD116-AE116-AF116-AG116-AH116-AI116-AJ116-AK116-AL116-AM116-AN116-AO116-AP116-AQ116-AR116-AS116-AT116-AU116-AV116-AW116-AY116-BE116-BF116-Tableau1[[#This Row],[Ville de Pantin ]]-Tableau1[[#This Row],[Est-Ensemble ]]-Tableau1[[#This Row],[ASGO]]</f>
        <v>0</v>
      </c>
    </row>
    <row r="117" spans="1:64" ht="20.100000000000001" hidden="1" customHeight="1" x14ac:dyDescent="0.25">
      <c r="A117" s="5" t="s">
        <v>418</v>
      </c>
      <c r="B117" s="5" t="s">
        <v>426</v>
      </c>
      <c r="C117" s="14" t="s">
        <v>1263</v>
      </c>
      <c r="D117" s="5" t="s">
        <v>1024</v>
      </c>
      <c r="F117" s="5" t="s">
        <v>420</v>
      </c>
      <c r="H117" s="404" t="s">
        <v>427</v>
      </c>
      <c r="J117" s="5" t="s">
        <v>40</v>
      </c>
      <c r="K117" s="5" t="s">
        <v>41</v>
      </c>
      <c r="L117" s="5" t="s">
        <v>428</v>
      </c>
      <c r="O117" s="5" t="s">
        <v>42</v>
      </c>
      <c r="P117" s="5" t="s">
        <v>429</v>
      </c>
      <c r="Q117" s="227">
        <v>0</v>
      </c>
      <c r="R117" s="7">
        <v>0</v>
      </c>
      <c r="S117" s="7">
        <v>0</v>
      </c>
      <c r="T117" s="7">
        <v>0</v>
      </c>
      <c r="U117" s="7" t="s">
        <v>430</v>
      </c>
      <c r="V117" s="7">
        <v>0</v>
      </c>
      <c r="W117" s="7">
        <v>0</v>
      </c>
      <c r="X117" s="7">
        <v>0</v>
      </c>
      <c r="Y117" s="7"/>
      <c r="Z117" s="7"/>
      <c r="AA117" s="7"/>
      <c r="AB117" s="7"/>
      <c r="AC117" s="7"/>
      <c r="AD117" s="7"/>
      <c r="AE117" s="7"/>
      <c r="AF117" s="7"/>
      <c r="AG117" s="7"/>
      <c r="AH117" s="7"/>
      <c r="AI117" s="7"/>
      <c r="AJ117" s="7"/>
      <c r="AK117" s="7"/>
      <c r="AL117" s="7"/>
      <c r="AM117" s="7"/>
      <c r="AN117" s="7"/>
      <c r="AO117" s="7"/>
      <c r="AP117" s="7"/>
      <c r="AQ117" s="7"/>
      <c r="AR117" s="7"/>
      <c r="AS117" s="7"/>
      <c r="AT117" s="7">
        <v>0</v>
      </c>
      <c r="AU117" s="7">
        <v>0</v>
      </c>
      <c r="AV117" s="7">
        <v>0</v>
      </c>
      <c r="AW117" s="7">
        <v>0</v>
      </c>
      <c r="AX117" s="7">
        <v>0</v>
      </c>
      <c r="BG117" s="8">
        <v>42430</v>
      </c>
      <c r="BH117" s="5">
        <v>6</v>
      </c>
      <c r="BI117" s="5">
        <v>0</v>
      </c>
      <c r="BJ117" s="5">
        <v>0</v>
      </c>
      <c r="BK117" s="5">
        <f>Tableau1[[#This Row],[Base de financement]]-Tableau1[[#This Row],[Subvention ANRU]]-Tableau1[[#This Row],[Ville]]-Tableau1[[#This Row],[Plaine Commune]]-Tableau1[[#This Row],[Bailleurs]]-Tableau1[[#This Row],[CDC]]-Tableau1[[#This Row],[CD93]]-Tableau1[[#This Row],[CRIF]]-Tableau1[[#This Row],[Europe]]-Tableau1[[#This Row],[Autres]]</f>
        <v>0</v>
      </c>
      <c r="BL117" s="412">
        <f>S117-T117-V117-W117-Y117-Z117-AA117-AB117-AC117-AD117-AE117-AF117-AG117-AH117-AI117-AJ117-AK117-AL117-AM117-AN117-AO117-AP117-AQ117-AR117-AS117-AT117-AU117-AV117-AW117-AY117-BE117-BF117-Tableau1[[#This Row],[Ville de Pantin ]]-Tableau1[[#This Row],[Est-Ensemble ]]-Tableau1[[#This Row],[ASGO]]</f>
        <v>0</v>
      </c>
    </row>
    <row r="118" spans="1:64" ht="20.100000000000001" hidden="1" customHeight="1" x14ac:dyDescent="0.25">
      <c r="A118" s="5" t="s">
        <v>418</v>
      </c>
      <c r="B118" s="5" t="s">
        <v>446</v>
      </c>
      <c r="C118" s="14" t="s">
        <v>1265</v>
      </c>
      <c r="D118" s="5" t="s">
        <v>1024</v>
      </c>
      <c r="F118" s="5" t="s">
        <v>420</v>
      </c>
      <c r="H118" s="404" t="s">
        <v>447</v>
      </c>
      <c r="J118" s="5" t="s">
        <v>68</v>
      </c>
      <c r="K118" s="5" t="s">
        <v>61</v>
      </c>
      <c r="L118" s="5" t="s">
        <v>448</v>
      </c>
      <c r="O118" s="5" t="s">
        <v>42</v>
      </c>
      <c r="P118" s="5" t="s">
        <v>449</v>
      </c>
      <c r="Q118" s="227">
        <v>20000</v>
      </c>
      <c r="R118" s="7">
        <v>24000</v>
      </c>
      <c r="S118" s="7">
        <v>20000</v>
      </c>
      <c r="T118" s="7">
        <v>10000</v>
      </c>
      <c r="U118" s="7"/>
      <c r="V118" s="7">
        <v>0</v>
      </c>
      <c r="W118" s="7">
        <v>0</v>
      </c>
      <c r="X118" s="7">
        <v>10000</v>
      </c>
      <c r="Y118" s="7"/>
      <c r="Z118" s="7"/>
      <c r="AA118" s="7"/>
      <c r="AB118" s="7"/>
      <c r="AC118" s="7"/>
      <c r="AD118" s="7"/>
      <c r="AE118" s="7"/>
      <c r="AF118" s="7">
        <v>10000</v>
      </c>
      <c r="AG118" s="7"/>
      <c r="AH118" s="7"/>
      <c r="AI118" s="7"/>
      <c r="AJ118" s="7"/>
      <c r="AK118" s="7"/>
      <c r="AL118" s="7"/>
      <c r="AM118" s="7"/>
      <c r="AN118" s="7"/>
      <c r="AO118" s="7"/>
      <c r="AP118" s="7"/>
      <c r="AQ118" s="7"/>
      <c r="AR118" s="7"/>
      <c r="AS118" s="7"/>
      <c r="AT118" s="7">
        <v>0</v>
      </c>
      <c r="AU118" s="7">
        <v>0</v>
      </c>
      <c r="AV118" s="7">
        <v>0</v>
      </c>
      <c r="AW118" s="7">
        <v>0</v>
      </c>
      <c r="AX118" s="7">
        <v>0</v>
      </c>
      <c r="BG118" s="8">
        <v>42445</v>
      </c>
      <c r="BH118" s="5">
        <v>12</v>
      </c>
      <c r="BI118" s="5">
        <v>131</v>
      </c>
      <c r="BJ118" s="5">
        <v>0</v>
      </c>
      <c r="BK118" s="5">
        <f>Tableau1[[#This Row],[Base de financement]]-Tableau1[[#This Row],[Subvention ANRU]]-Tableau1[[#This Row],[Ville]]-Tableau1[[#This Row],[Plaine Commune]]-Tableau1[[#This Row],[Bailleurs]]-Tableau1[[#This Row],[CDC]]-Tableau1[[#This Row],[CD93]]-Tableau1[[#This Row],[CRIF]]-Tableau1[[#This Row],[Europe]]-Tableau1[[#This Row],[Autres]]</f>
        <v>0</v>
      </c>
      <c r="BL118" s="412">
        <f>S118-T118-V118-W118-Y118-Z118-AA118-AB118-AC118-AD118-AE118-AF118-AG118-AH118-AI118-AJ118-AK118-AL118-AM118-AN118-AO118-AP118-AQ118-AR118-AS118-AT118-AU118-AV118-AW118-AY118-BE118-BF118-Tableau1[[#This Row],[Ville de Pantin ]]-Tableau1[[#This Row],[Est-Ensemble ]]-Tableau1[[#This Row],[ASGO]]</f>
        <v>0</v>
      </c>
    </row>
    <row r="119" spans="1:64" ht="20.100000000000001" hidden="1" customHeight="1" x14ac:dyDescent="0.25">
      <c r="A119" s="5" t="s">
        <v>418</v>
      </c>
      <c r="B119" s="5" t="s">
        <v>462</v>
      </c>
      <c r="C119" s="14" t="s">
        <v>1266</v>
      </c>
      <c r="D119" s="5" t="s">
        <v>1024</v>
      </c>
      <c r="F119" s="5" t="s">
        <v>420</v>
      </c>
      <c r="H119" s="404" t="s">
        <v>463</v>
      </c>
      <c r="J119" s="5" t="s">
        <v>68</v>
      </c>
      <c r="K119" s="5" t="s">
        <v>61</v>
      </c>
      <c r="L119" s="5" t="s">
        <v>464</v>
      </c>
      <c r="O119" s="5" t="s">
        <v>42</v>
      </c>
      <c r="P119" s="5" t="s">
        <v>465</v>
      </c>
      <c r="Q119" s="227">
        <v>36060</v>
      </c>
      <c r="R119" s="7">
        <v>43272</v>
      </c>
      <c r="S119" s="7">
        <v>36060</v>
      </c>
      <c r="T119" s="7">
        <v>18030</v>
      </c>
      <c r="U119" s="7"/>
      <c r="V119" s="7">
        <v>0</v>
      </c>
      <c r="W119" s="7">
        <v>0</v>
      </c>
      <c r="X119" s="7">
        <v>18030</v>
      </c>
      <c r="Y119" s="7"/>
      <c r="Z119" s="7"/>
      <c r="AA119" s="7"/>
      <c r="AB119" s="7"/>
      <c r="AC119" s="7"/>
      <c r="AD119" s="7"/>
      <c r="AE119" s="7">
        <v>18030</v>
      </c>
      <c r="AF119" s="7"/>
      <c r="AG119" s="7"/>
      <c r="AH119" s="7"/>
      <c r="AI119" s="7"/>
      <c r="AJ119" s="7"/>
      <c r="AK119" s="7"/>
      <c r="AL119" s="7"/>
      <c r="AM119" s="7"/>
      <c r="AN119" s="7"/>
      <c r="AO119" s="7"/>
      <c r="AP119" s="7"/>
      <c r="AQ119" s="7"/>
      <c r="AR119" s="7"/>
      <c r="AS119" s="7"/>
      <c r="AT119" s="7">
        <v>0</v>
      </c>
      <c r="AU119" s="7">
        <v>0</v>
      </c>
      <c r="AV119" s="7">
        <v>0</v>
      </c>
      <c r="AW119" s="7">
        <v>0</v>
      </c>
      <c r="AX119" s="7">
        <v>0</v>
      </c>
      <c r="BG119" s="8">
        <v>42445</v>
      </c>
      <c r="BH119" s="5">
        <v>12</v>
      </c>
      <c r="BI119" s="5">
        <v>229</v>
      </c>
      <c r="BJ119" s="5">
        <v>0</v>
      </c>
      <c r="BK119" s="5">
        <f>Tableau1[[#This Row],[Base de financement]]-Tableau1[[#This Row],[Subvention ANRU]]-Tableau1[[#This Row],[Ville]]-Tableau1[[#This Row],[Plaine Commune]]-Tableau1[[#This Row],[Bailleurs]]-Tableau1[[#This Row],[CDC]]-Tableau1[[#This Row],[CD93]]-Tableau1[[#This Row],[CRIF]]-Tableau1[[#This Row],[Europe]]-Tableau1[[#This Row],[Autres]]</f>
        <v>0</v>
      </c>
      <c r="BL119" s="412">
        <f>S119-T119-V119-W119-Y119-Z119-AA119-AB119-AC119-AD119-AE119-AF119-AG119-AH119-AI119-AJ119-AK119-AL119-AM119-AN119-AO119-AP119-AQ119-AR119-AS119-AT119-AU119-AV119-AW119-AY119-BE119-BF119-Tableau1[[#This Row],[Ville de Pantin ]]-Tableau1[[#This Row],[Est-Ensemble ]]-Tableau1[[#This Row],[ASGO]]</f>
        <v>0</v>
      </c>
    </row>
    <row r="120" spans="1:64" ht="28.5" hidden="1" customHeight="1" x14ac:dyDescent="0.25">
      <c r="A120" s="5" t="s">
        <v>418</v>
      </c>
      <c r="B120" s="5" t="s">
        <v>466</v>
      </c>
      <c r="C120" s="14" t="s">
        <v>1267</v>
      </c>
      <c r="D120" s="5" t="s">
        <v>1024</v>
      </c>
      <c r="F120" s="5" t="s">
        <v>420</v>
      </c>
      <c r="H120" s="404" t="s">
        <v>467</v>
      </c>
      <c r="J120" s="5" t="s">
        <v>113</v>
      </c>
      <c r="K120" s="5" t="s">
        <v>113</v>
      </c>
      <c r="L120" s="5" t="s">
        <v>464</v>
      </c>
      <c r="O120" s="5" t="s">
        <v>42</v>
      </c>
      <c r="P120" s="5" t="s">
        <v>468</v>
      </c>
      <c r="Q120" s="227">
        <v>15820</v>
      </c>
      <c r="R120" s="7">
        <v>18984</v>
      </c>
      <c r="S120" s="7">
        <v>15820</v>
      </c>
      <c r="T120" s="7">
        <v>7910</v>
      </c>
      <c r="U120" s="7"/>
      <c r="V120" s="7">
        <v>0</v>
      </c>
      <c r="W120" s="7">
        <v>0</v>
      </c>
      <c r="X120" s="7">
        <v>7910</v>
      </c>
      <c r="Y120" s="7"/>
      <c r="Z120" s="7"/>
      <c r="AA120" s="7"/>
      <c r="AB120" s="7"/>
      <c r="AC120" s="7"/>
      <c r="AD120" s="7"/>
      <c r="AE120" s="7">
        <v>7910</v>
      </c>
      <c r="AF120" s="7"/>
      <c r="AG120" s="7"/>
      <c r="AH120" s="7"/>
      <c r="AI120" s="7"/>
      <c r="AJ120" s="7"/>
      <c r="AK120" s="7"/>
      <c r="AL120" s="7"/>
      <c r="AM120" s="7"/>
      <c r="AN120" s="7"/>
      <c r="AO120" s="7"/>
      <c r="AP120" s="7"/>
      <c r="AQ120" s="7"/>
      <c r="AR120" s="7"/>
      <c r="AS120" s="7"/>
      <c r="AT120" s="7">
        <v>0</v>
      </c>
      <c r="AU120" s="7">
        <v>0</v>
      </c>
      <c r="AV120" s="7">
        <v>0</v>
      </c>
      <c r="AW120" s="7">
        <v>0</v>
      </c>
      <c r="AX120" s="7">
        <v>0</v>
      </c>
      <c r="BG120" s="8">
        <v>42445</v>
      </c>
      <c r="BH120" s="5">
        <v>12</v>
      </c>
      <c r="BI120" s="5">
        <v>229</v>
      </c>
      <c r="BJ120" s="5">
        <v>0</v>
      </c>
      <c r="BK120" s="5">
        <f>Tableau1[[#This Row],[Base de financement]]-Tableau1[[#This Row],[Subvention ANRU]]-Tableau1[[#This Row],[Ville]]-Tableau1[[#This Row],[Plaine Commune]]-Tableau1[[#This Row],[Bailleurs]]-Tableau1[[#This Row],[CDC]]-Tableau1[[#This Row],[CD93]]-Tableau1[[#This Row],[CRIF]]-Tableau1[[#This Row],[Europe]]-Tableau1[[#This Row],[Autres]]</f>
        <v>0</v>
      </c>
      <c r="BL120" s="412">
        <f>S120-T120-V120-W120-Y120-Z120-AA120-AB120-AC120-AD120-AE120-AF120-AG120-AH120-AI120-AJ120-AK120-AL120-AM120-AN120-AO120-AP120-AQ120-AR120-AS120-AT120-AU120-AV120-AW120-AY120-BE120-BF120-Tableau1[[#This Row],[Ville de Pantin ]]-Tableau1[[#This Row],[Est-Ensemble ]]-Tableau1[[#This Row],[ASGO]]</f>
        <v>0</v>
      </c>
    </row>
    <row r="121" spans="1:64" ht="20.100000000000001" hidden="1" customHeight="1" x14ac:dyDescent="0.25">
      <c r="A121" s="5" t="s">
        <v>418</v>
      </c>
      <c r="B121" s="5" t="s">
        <v>469</v>
      </c>
      <c r="C121" s="14" t="s">
        <v>1268</v>
      </c>
      <c r="D121" s="5" t="s">
        <v>1024</v>
      </c>
      <c r="E121" s="5" t="s">
        <v>36</v>
      </c>
      <c r="F121" s="5" t="s">
        <v>420</v>
      </c>
      <c r="H121" s="404" t="s">
        <v>470</v>
      </c>
      <c r="I121" s="5" t="s">
        <v>471</v>
      </c>
      <c r="J121" s="5" t="s">
        <v>113</v>
      </c>
      <c r="K121" s="5" t="s">
        <v>113</v>
      </c>
      <c r="L121" s="5" t="s">
        <v>472</v>
      </c>
      <c r="N121" s="5" t="s">
        <v>42</v>
      </c>
      <c r="P121" s="5" t="s">
        <v>473</v>
      </c>
      <c r="Q121" s="227">
        <v>30000</v>
      </c>
      <c r="R121" s="7">
        <v>36000</v>
      </c>
      <c r="S121" s="7">
        <v>30000</v>
      </c>
      <c r="T121" s="7">
        <v>15000</v>
      </c>
      <c r="U121" s="7" t="s">
        <v>474</v>
      </c>
      <c r="V121" s="7">
        <v>7500</v>
      </c>
      <c r="W121" s="7">
        <v>7500</v>
      </c>
      <c r="X121" s="7">
        <v>0</v>
      </c>
      <c r="Y121" s="7"/>
      <c r="Z121" s="7"/>
      <c r="AA121" s="7"/>
      <c r="AB121" s="7"/>
      <c r="AC121" s="7"/>
      <c r="AD121" s="7"/>
      <c r="AE121" s="7"/>
      <c r="AF121" s="7"/>
      <c r="AG121" s="7"/>
      <c r="AH121" s="7"/>
      <c r="AI121" s="7"/>
      <c r="AJ121" s="7"/>
      <c r="AK121" s="7"/>
      <c r="AL121" s="7"/>
      <c r="AM121" s="7"/>
      <c r="AN121" s="7"/>
      <c r="AO121" s="7"/>
      <c r="AP121" s="7"/>
      <c r="AQ121" s="7"/>
      <c r="AR121" s="7"/>
      <c r="AS121" s="7"/>
      <c r="AT121" s="7">
        <v>0</v>
      </c>
      <c r="AU121" s="7">
        <v>0</v>
      </c>
      <c r="AV121" s="7">
        <v>0</v>
      </c>
      <c r="AW121" s="7">
        <v>0</v>
      </c>
      <c r="AX121" s="7">
        <v>0</v>
      </c>
      <c r="BG121" s="8">
        <v>42522</v>
      </c>
      <c r="BH121" s="5">
        <v>1</v>
      </c>
      <c r="BI121" s="5">
        <v>0</v>
      </c>
      <c r="BJ121" s="5">
        <v>0</v>
      </c>
      <c r="BK121" s="5">
        <f>Tableau1[[#This Row],[Base de financement]]-Tableau1[[#This Row],[Subvention ANRU]]-Tableau1[[#This Row],[Ville]]-Tableau1[[#This Row],[Plaine Commune]]-Tableau1[[#This Row],[Bailleurs]]-Tableau1[[#This Row],[CDC]]-Tableau1[[#This Row],[CD93]]-Tableau1[[#This Row],[CRIF]]-Tableau1[[#This Row],[Europe]]-Tableau1[[#This Row],[Autres]]</f>
        <v>0</v>
      </c>
      <c r="BL121" s="412">
        <f>S121-T121-V121-W121-Y121-Z121-AA121-AB121-AC121-AD121-AE121-AF121-AG121-AH121-AI121-AJ121-AK121-AL121-AM121-AN121-AO121-AP121-AQ121-AR121-AS121-AT121-AU121-AV121-AW121-AY121-BE121-BF121-Tableau1[[#This Row],[Ville de Pantin ]]-Tableau1[[#This Row],[Est-Ensemble ]]-Tableau1[[#This Row],[ASGO]]</f>
        <v>0</v>
      </c>
    </row>
    <row r="122" spans="1:64" ht="20.100000000000001" hidden="1" customHeight="1" x14ac:dyDescent="0.25">
      <c r="A122" s="5" t="s">
        <v>418</v>
      </c>
      <c r="B122" s="5" t="s">
        <v>475</v>
      </c>
      <c r="C122" s="14" t="s">
        <v>1269</v>
      </c>
      <c r="D122" s="5" t="s">
        <v>1024</v>
      </c>
      <c r="F122" s="5" t="s">
        <v>420</v>
      </c>
      <c r="H122" s="404" t="s">
        <v>476</v>
      </c>
      <c r="J122" s="5" t="s">
        <v>113</v>
      </c>
      <c r="K122" s="5" t="s">
        <v>113</v>
      </c>
      <c r="L122" s="5" t="s">
        <v>428</v>
      </c>
      <c r="O122" s="5" t="s">
        <v>42</v>
      </c>
      <c r="P122" s="5" t="s">
        <v>477</v>
      </c>
      <c r="Q122" s="227">
        <v>20000</v>
      </c>
      <c r="R122" s="7">
        <v>24000</v>
      </c>
      <c r="S122" s="7">
        <v>20000</v>
      </c>
      <c r="T122" s="7">
        <v>10000</v>
      </c>
      <c r="U122" s="7"/>
      <c r="V122" s="7">
        <v>10000</v>
      </c>
      <c r="W122" s="7">
        <v>0</v>
      </c>
      <c r="X122" s="7">
        <v>0</v>
      </c>
      <c r="Y122" s="7"/>
      <c r="Z122" s="7"/>
      <c r="AA122" s="7"/>
      <c r="AB122" s="7"/>
      <c r="AC122" s="7"/>
      <c r="AD122" s="7"/>
      <c r="AE122" s="7"/>
      <c r="AF122" s="7"/>
      <c r="AG122" s="7"/>
      <c r="AH122" s="7"/>
      <c r="AI122" s="7"/>
      <c r="AJ122" s="7"/>
      <c r="AK122" s="7"/>
      <c r="AL122" s="7"/>
      <c r="AM122" s="7"/>
      <c r="AN122" s="7"/>
      <c r="AO122" s="7"/>
      <c r="AP122" s="7"/>
      <c r="AQ122" s="7"/>
      <c r="AR122" s="7"/>
      <c r="AS122" s="7"/>
      <c r="AT122" s="7">
        <v>0</v>
      </c>
      <c r="AU122" s="7">
        <v>0</v>
      </c>
      <c r="AV122" s="7">
        <v>0</v>
      </c>
      <c r="AW122" s="7">
        <v>0</v>
      </c>
      <c r="AX122" s="7">
        <v>0</v>
      </c>
      <c r="BG122" s="8">
        <v>42445</v>
      </c>
      <c r="BH122" s="5">
        <v>4</v>
      </c>
      <c r="BI122" s="5">
        <v>0</v>
      </c>
      <c r="BJ122" s="5">
        <v>0</v>
      </c>
      <c r="BK122" s="5">
        <f>Tableau1[[#This Row],[Base de financement]]-Tableau1[[#This Row],[Subvention ANRU]]-Tableau1[[#This Row],[Ville]]-Tableau1[[#This Row],[Plaine Commune]]-Tableau1[[#This Row],[Bailleurs]]-Tableau1[[#This Row],[CDC]]-Tableau1[[#This Row],[CD93]]-Tableau1[[#This Row],[CRIF]]-Tableau1[[#This Row],[Europe]]-Tableau1[[#This Row],[Autres]]</f>
        <v>0</v>
      </c>
      <c r="BL122" s="412">
        <f>S122-T122-V122-W122-Y122-Z122-AA122-AB122-AC122-AD122-AE122-AF122-AG122-AH122-AI122-AJ122-AK122-AL122-AM122-AN122-AO122-AP122-AQ122-AR122-AS122-AT122-AU122-AV122-AW122-AY122-BE122-BF122-Tableau1[[#This Row],[Ville de Pantin ]]-Tableau1[[#This Row],[Est-Ensemble ]]-Tableau1[[#This Row],[ASGO]]</f>
        <v>0</v>
      </c>
    </row>
    <row r="123" spans="1:64" ht="20.100000000000001" hidden="1" customHeight="1" x14ac:dyDescent="0.25">
      <c r="A123" s="5" t="s">
        <v>418</v>
      </c>
      <c r="B123" s="14" t="s">
        <v>478</v>
      </c>
      <c r="C123" s="14" t="s">
        <v>1270</v>
      </c>
      <c r="D123" s="5" t="s">
        <v>1024</v>
      </c>
      <c r="F123" s="5" t="s">
        <v>420</v>
      </c>
      <c r="H123" s="404" t="s">
        <v>479</v>
      </c>
      <c r="J123" s="5" t="s">
        <v>113</v>
      </c>
      <c r="K123" s="5" t="s">
        <v>113</v>
      </c>
      <c r="L123" s="5" t="s">
        <v>428</v>
      </c>
      <c r="O123" s="5" t="s">
        <v>42</v>
      </c>
      <c r="P123" s="5" t="s">
        <v>480</v>
      </c>
      <c r="Q123" s="227">
        <v>15000</v>
      </c>
      <c r="R123" s="7">
        <v>18000</v>
      </c>
      <c r="S123" s="7">
        <v>15000</v>
      </c>
      <c r="T123" s="7">
        <v>7500</v>
      </c>
      <c r="U123" s="7" t="s">
        <v>1022</v>
      </c>
      <c r="V123" s="7">
        <v>7500</v>
      </c>
      <c r="W123" s="7">
        <v>0</v>
      </c>
      <c r="X123" s="7">
        <v>0</v>
      </c>
      <c r="Y123" s="7"/>
      <c r="Z123" s="7"/>
      <c r="AA123" s="7"/>
      <c r="AB123" s="7"/>
      <c r="AC123" s="7"/>
      <c r="AD123" s="7"/>
      <c r="AE123" s="7"/>
      <c r="AF123" s="7"/>
      <c r="AG123" s="7"/>
      <c r="AH123" s="7"/>
      <c r="AI123" s="7"/>
      <c r="AJ123" s="7"/>
      <c r="AK123" s="7"/>
      <c r="AL123" s="7"/>
      <c r="AM123" s="7"/>
      <c r="AN123" s="7"/>
      <c r="AO123" s="7"/>
      <c r="AP123" s="7"/>
      <c r="AQ123" s="7"/>
      <c r="AR123" s="7"/>
      <c r="AS123" s="7"/>
      <c r="AT123" s="7">
        <v>0</v>
      </c>
      <c r="AU123" s="7">
        <v>0</v>
      </c>
      <c r="AV123" s="7">
        <v>0</v>
      </c>
      <c r="AW123" s="7">
        <v>0</v>
      </c>
      <c r="AX123" s="7">
        <v>0</v>
      </c>
      <c r="BG123" s="8">
        <v>42445</v>
      </c>
      <c r="BH123" s="5">
        <v>6</v>
      </c>
      <c r="BI123" s="5">
        <v>0</v>
      </c>
      <c r="BJ123" s="5">
        <v>0</v>
      </c>
      <c r="BK123" s="5">
        <f>Tableau1[[#This Row],[Base de financement]]-Tableau1[[#This Row],[Subvention ANRU]]-Tableau1[[#This Row],[Ville]]-Tableau1[[#This Row],[Plaine Commune]]-Tableau1[[#This Row],[Bailleurs]]-Tableau1[[#This Row],[CDC]]-Tableau1[[#This Row],[CD93]]-Tableau1[[#This Row],[CRIF]]-Tableau1[[#This Row],[Europe]]-Tableau1[[#This Row],[Autres]]</f>
        <v>0</v>
      </c>
      <c r="BL123" s="412">
        <f>S123-T123-V123-W123-Y123-Z123-AA123-AB123-AC123-AD123-AE123-AF123-AG123-AH123-AI123-AJ123-AK123-AL123-AM123-AN123-AO123-AP123-AQ123-AR123-AS123-AT123-AU123-AV123-AW123-AY123-BE123-BF123-Tableau1[[#This Row],[Ville de Pantin ]]-Tableau1[[#This Row],[Est-Ensemble ]]-Tableau1[[#This Row],[ASGO]]</f>
        <v>0</v>
      </c>
    </row>
    <row r="124" spans="1:64" ht="20.100000000000001" customHeight="1" x14ac:dyDescent="0.25">
      <c r="A124" s="5" t="s">
        <v>418</v>
      </c>
      <c r="B124" s="5" t="s">
        <v>488</v>
      </c>
      <c r="C124" s="14" t="s">
        <v>1274</v>
      </c>
      <c r="D124" s="5" t="s">
        <v>1024</v>
      </c>
      <c r="E124" s="5" t="s">
        <v>260</v>
      </c>
      <c r="F124" s="5" t="s">
        <v>420</v>
      </c>
      <c r="H124" s="404" t="s">
        <v>489</v>
      </c>
      <c r="I124" s="5" t="s">
        <v>490</v>
      </c>
      <c r="J124" s="5" t="s">
        <v>40</v>
      </c>
      <c r="K124" s="5" t="s">
        <v>41</v>
      </c>
      <c r="L124" s="5" t="s">
        <v>22</v>
      </c>
      <c r="O124" s="5" t="s">
        <v>42</v>
      </c>
      <c r="P124" s="5" t="s">
        <v>491</v>
      </c>
      <c r="Q124" s="227">
        <v>35000</v>
      </c>
      <c r="R124" s="7">
        <v>42000</v>
      </c>
      <c r="S124" s="7">
        <v>35000</v>
      </c>
      <c r="T124" s="7">
        <v>17500</v>
      </c>
      <c r="U124" s="7" t="s">
        <v>492</v>
      </c>
      <c r="V124" s="7">
        <v>0</v>
      </c>
      <c r="W124" s="7">
        <v>8750</v>
      </c>
      <c r="X124" s="227">
        <v>8750</v>
      </c>
      <c r="Y124" s="7"/>
      <c r="Z124" s="7"/>
      <c r="AA124" s="7"/>
      <c r="AB124" s="7"/>
      <c r="AC124" s="7"/>
      <c r="AD124" s="7"/>
      <c r="AE124" s="7">
        <v>1663</v>
      </c>
      <c r="AF124" s="7">
        <v>962</v>
      </c>
      <c r="AG124" s="7"/>
      <c r="AH124" s="7">
        <v>6125</v>
      </c>
      <c r="AI124" s="7"/>
      <c r="AJ124" s="7"/>
      <c r="AK124" s="7"/>
      <c r="AL124" s="7"/>
      <c r="AM124" s="7"/>
      <c r="AN124" s="7"/>
      <c r="AO124" s="7"/>
      <c r="AP124" s="7"/>
      <c r="AQ124" s="7"/>
      <c r="AR124" s="7"/>
      <c r="AS124" s="7"/>
      <c r="AT124" s="7">
        <v>0</v>
      </c>
      <c r="AU124" s="7">
        <v>0</v>
      </c>
      <c r="AV124" s="7">
        <v>0</v>
      </c>
      <c r="AW124" s="7">
        <v>0</v>
      </c>
      <c r="AX124" s="7">
        <v>0</v>
      </c>
      <c r="BG124" s="8">
        <v>42614</v>
      </c>
      <c r="BH124" s="5">
        <v>6</v>
      </c>
      <c r="BI124" s="5">
        <v>0</v>
      </c>
      <c r="BJ124" s="5">
        <v>0</v>
      </c>
      <c r="BK124" s="5">
        <f>Tableau1[[#This Row],[Base de financement]]-Tableau1[[#This Row],[Subvention ANRU]]-Tableau1[[#This Row],[Ville]]-Tableau1[[#This Row],[Plaine Commune]]-Tableau1[[#This Row],[Bailleurs]]-Tableau1[[#This Row],[CDC]]-Tableau1[[#This Row],[CD93]]-Tableau1[[#This Row],[CRIF]]-Tableau1[[#This Row],[Europe]]-Tableau1[[#This Row],[Autres]]</f>
        <v>0</v>
      </c>
      <c r="BL124" s="412">
        <f>S124-T124-V124-W124-Y124-Z124-AA124-AB124-AC124-AD124-AE124-AF124-AG124-AH124-AI124-AJ124-AK124-AL124-AM124-AN124-AO124-AP124-AQ124-AR124-AS124-AT124-AU124-AV124-AW124-AY124-BE124-BF124-Tableau1[[#This Row],[Ville de Pantin ]]-Tableau1[[#This Row],[Est-Ensemble ]]-Tableau1[[#This Row],[ASGO]]</f>
        <v>0</v>
      </c>
    </row>
    <row r="125" spans="1:64" ht="20.100000000000001" hidden="1" customHeight="1" x14ac:dyDescent="0.25">
      <c r="A125" s="5" t="s">
        <v>418</v>
      </c>
      <c r="B125" s="5" t="s">
        <v>493</v>
      </c>
      <c r="C125" s="14" t="s">
        <v>1275</v>
      </c>
      <c r="D125" s="5" t="s">
        <v>1024</v>
      </c>
      <c r="F125" s="5" t="s">
        <v>420</v>
      </c>
      <c r="H125" s="404" t="s">
        <v>494</v>
      </c>
      <c r="J125" s="5" t="s">
        <v>40</v>
      </c>
      <c r="K125" s="5" t="s">
        <v>41</v>
      </c>
      <c r="L125" s="5" t="s">
        <v>428</v>
      </c>
      <c r="O125" s="5" t="s">
        <v>42</v>
      </c>
      <c r="P125" s="5" t="s">
        <v>495</v>
      </c>
      <c r="Q125" s="227">
        <v>0</v>
      </c>
      <c r="R125" s="7">
        <v>0</v>
      </c>
      <c r="S125" s="7">
        <v>0</v>
      </c>
      <c r="T125" s="7">
        <v>0</v>
      </c>
      <c r="U125" s="7" t="s">
        <v>496</v>
      </c>
      <c r="V125" s="7">
        <v>0</v>
      </c>
      <c r="W125" s="7">
        <v>0</v>
      </c>
      <c r="X125" s="7">
        <v>0</v>
      </c>
      <c r="Y125" s="7"/>
      <c r="Z125" s="7"/>
      <c r="AA125" s="7"/>
      <c r="AB125" s="7"/>
      <c r="AC125" s="7"/>
      <c r="AD125" s="7"/>
      <c r="AE125" s="7"/>
      <c r="AF125" s="7"/>
      <c r="AG125" s="7"/>
      <c r="AH125" s="7"/>
      <c r="AI125" s="7"/>
      <c r="AJ125" s="7"/>
      <c r="AK125" s="7"/>
      <c r="AL125" s="7"/>
      <c r="AM125" s="7"/>
      <c r="AN125" s="7"/>
      <c r="AO125" s="7"/>
      <c r="AP125" s="7"/>
      <c r="AQ125" s="7"/>
      <c r="AR125" s="7"/>
      <c r="AS125" s="7"/>
      <c r="AT125" s="7">
        <v>0</v>
      </c>
      <c r="AU125" s="7">
        <v>0</v>
      </c>
      <c r="AV125" s="7">
        <v>0</v>
      </c>
      <c r="AW125" s="7">
        <v>0</v>
      </c>
      <c r="AX125" s="7">
        <v>0</v>
      </c>
      <c r="BG125" s="8">
        <v>41944</v>
      </c>
      <c r="BH125" s="5">
        <v>8</v>
      </c>
      <c r="BI125" s="5">
        <v>0</v>
      </c>
      <c r="BJ125" s="5">
        <v>0</v>
      </c>
      <c r="BK125" s="5">
        <f>Tableau1[[#This Row],[Base de financement]]-Tableau1[[#This Row],[Subvention ANRU]]-Tableau1[[#This Row],[Ville]]-Tableau1[[#This Row],[Plaine Commune]]-Tableau1[[#This Row],[Bailleurs]]-Tableau1[[#This Row],[CDC]]-Tableau1[[#This Row],[CD93]]-Tableau1[[#This Row],[CRIF]]-Tableau1[[#This Row],[Europe]]-Tableau1[[#This Row],[Autres]]</f>
        <v>0</v>
      </c>
      <c r="BL125" s="412">
        <f>S125-T125-V125-W125-Y125-Z125-AA125-AB125-AC125-AD125-AE125-AF125-AG125-AH125-AI125-AJ125-AK125-AL125-AM125-AN125-AO125-AP125-AQ125-AR125-AS125-AT125-AU125-AV125-AW125-AY125-BE125-BF125-Tableau1[[#This Row],[Ville de Pantin ]]-Tableau1[[#This Row],[Est-Ensemble ]]-Tableau1[[#This Row],[ASGO]]</f>
        <v>0</v>
      </c>
    </row>
    <row r="126" spans="1:64" ht="32.25" customHeight="1" x14ac:dyDescent="0.25">
      <c r="A126" s="5" t="s">
        <v>418</v>
      </c>
      <c r="B126" s="5" t="s">
        <v>760</v>
      </c>
      <c r="C126" s="14" t="s">
        <v>1281</v>
      </c>
      <c r="D126" s="5" t="s">
        <v>498</v>
      </c>
      <c r="E126" s="5" t="s">
        <v>36</v>
      </c>
      <c r="F126" s="5" t="s">
        <v>37</v>
      </c>
      <c r="G126" s="5" t="s">
        <v>509</v>
      </c>
      <c r="H126" s="404" t="s">
        <v>761</v>
      </c>
      <c r="I126" s="5" t="s">
        <v>511</v>
      </c>
      <c r="J126" s="5" t="s">
        <v>40</v>
      </c>
      <c r="K126" s="5" t="s">
        <v>41</v>
      </c>
      <c r="L126" s="5" t="s">
        <v>22</v>
      </c>
      <c r="O126" s="5" t="s">
        <v>42</v>
      </c>
      <c r="P126" s="5" t="s">
        <v>762</v>
      </c>
      <c r="Q126" s="227">
        <v>80000</v>
      </c>
      <c r="R126" s="7">
        <v>96000</v>
      </c>
      <c r="S126" s="7">
        <v>80000</v>
      </c>
      <c r="T126" s="7">
        <v>32000</v>
      </c>
      <c r="U126" s="7"/>
      <c r="V126" s="7">
        <v>0</v>
      </c>
      <c r="W126" s="7">
        <v>20000</v>
      </c>
      <c r="X126" s="227">
        <v>20000</v>
      </c>
      <c r="Y126" s="7"/>
      <c r="Z126" s="7"/>
      <c r="AA126" s="7"/>
      <c r="AB126" s="7"/>
      <c r="AC126" s="7"/>
      <c r="AD126" s="7">
        <v>10000</v>
      </c>
      <c r="AE126" s="7"/>
      <c r="AF126" s="7"/>
      <c r="AG126" s="7"/>
      <c r="AH126" s="7">
        <v>10000</v>
      </c>
      <c r="AI126" s="7"/>
      <c r="AJ126" s="7"/>
      <c r="AK126" s="7"/>
      <c r="AL126" s="7"/>
      <c r="AM126" s="7"/>
      <c r="AN126" s="7"/>
      <c r="AO126" s="7"/>
      <c r="AP126" s="7"/>
      <c r="AQ126" s="7"/>
      <c r="AR126" s="7"/>
      <c r="AS126" s="7"/>
      <c r="AT126" s="7">
        <v>8000</v>
      </c>
      <c r="AU126" s="7">
        <v>0</v>
      </c>
      <c r="AV126" s="7">
        <v>0</v>
      </c>
      <c r="AW126" s="7">
        <v>0</v>
      </c>
      <c r="AX126" s="7">
        <v>0</v>
      </c>
      <c r="BG126" s="8">
        <v>42445</v>
      </c>
      <c r="BH126" s="5">
        <v>18</v>
      </c>
      <c r="BI126" s="5">
        <v>0</v>
      </c>
      <c r="BJ126" s="5">
        <v>0</v>
      </c>
      <c r="BK126" s="5">
        <f>Tableau1[[#This Row],[Base de financement]]-Tableau1[[#This Row],[Subvention ANRU]]-Tableau1[[#This Row],[Ville]]-Tableau1[[#This Row],[Plaine Commune]]-Tableau1[[#This Row],[Bailleurs]]-Tableau1[[#This Row],[CDC]]-Tableau1[[#This Row],[CD93]]-Tableau1[[#This Row],[CRIF]]-Tableau1[[#This Row],[Europe]]-Tableau1[[#This Row],[Autres]]</f>
        <v>0</v>
      </c>
      <c r="BL126" s="412">
        <f>S126-T126-V126-W126-Y126-Z126-AA126-AB126-AC126-AD126-AE126-AF126-AG126-AH126-AI126-AJ126-AK126-AL126-AM126-AN126-AO126-AP126-AQ126-AR126-AS126-AT126-AU126-AV126-AW126-AY126-BE126-BF126-Tableau1[[#This Row],[Ville de Pantin ]]-Tableau1[[#This Row],[Est-Ensemble ]]-Tableau1[[#This Row],[ASGO]]</f>
        <v>0</v>
      </c>
    </row>
    <row r="127" spans="1:64" s="14" customFormat="1" ht="20.100000000000001" customHeight="1" x14ac:dyDescent="0.25">
      <c r="A127" s="5" t="s">
        <v>418</v>
      </c>
      <c r="B127" s="5" t="s">
        <v>508</v>
      </c>
      <c r="C127" s="14" t="s">
        <v>1281</v>
      </c>
      <c r="D127" s="5" t="s">
        <v>498</v>
      </c>
      <c r="E127" s="5" t="s">
        <v>36</v>
      </c>
      <c r="F127" s="5" t="s">
        <v>37</v>
      </c>
      <c r="G127" s="5" t="s">
        <v>509</v>
      </c>
      <c r="H127" s="404" t="s">
        <v>510</v>
      </c>
      <c r="I127" s="5" t="s">
        <v>511</v>
      </c>
      <c r="J127" s="5" t="s">
        <v>128</v>
      </c>
      <c r="K127" s="5" t="s">
        <v>41</v>
      </c>
      <c r="L127" s="5" t="s">
        <v>22</v>
      </c>
      <c r="M127" s="5"/>
      <c r="N127" s="5"/>
      <c r="O127" s="5" t="s">
        <v>42</v>
      </c>
      <c r="P127" s="5" t="s">
        <v>512</v>
      </c>
      <c r="Q127" s="227">
        <v>20000</v>
      </c>
      <c r="R127" s="7">
        <v>24000</v>
      </c>
      <c r="S127" s="7">
        <v>20000</v>
      </c>
      <c r="T127" s="7">
        <v>0</v>
      </c>
      <c r="U127" s="7"/>
      <c r="V127" s="7">
        <v>0</v>
      </c>
      <c r="W127" s="7">
        <v>10000</v>
      </c>
      <c r="X127" s="7">
        <v>0</v>
      </c>
      <c r="Y127" s="7"/>
      <c r="Z127" s="7"/>
      <c r="AA127" s="7"/>
      <c r="AB127" s="7"/>
      <c r="AC127" s="7"/>
      <c r="AD127" s="7"/>
      <c r="AE127" s="7"/>
      <c r="AF127" s="7"/>
      <c r="AG127" s="7"/>
      <c r="AH127" s="7"/>
      <c r="AI127" s="7"/>
      <c r="AJ127" s="7"/>
      <c r="AK127" s="7"/>
      <c r="AL127" s="7"/>
      <c r="AM127" s="7"/>
      <c r="AN127" s="7"/>
      <c r="AO127" s="7"/>
      <c r="AP127" s="7"/>
      <c r="AQ127" s="7"/>
      <c r="AR127" s="7"/>
      <c r="AS127" s="7"/>
      <c r="AT127" s="7">
        <v>10000</v>
      </c>
      <c r="AU127" s="7">
        <v>0</v>
      </c>
      <c r="AV127" s="7">
        <v>0</v>
      </c>
      <c r="AW127" s="7">
        <v>0</v>
      </c>
      <c r="AX127" s="7">
        <v>0</v>
      </c>
      <c r="AY127" s="5"/>
      <c r="AZ127" s="5"/>
      <c r="BA127" s="5"/>
      <c r="BB127" s="5"/>
      <c r="BC127" s="5"/>
      <c r="BD127" s="5"/>
      <c r="BE127" s="5"/>
      <c r="BF127" s="5"/>
      <c r="BG127" s="8">
        <v>42445</v>
      </c>
      <c r="BH127" s="5">
        <v>3</v>
      </c>
      <c r="BI127" s="5">
        <v>0</v>
      </c>
      <c r="BJ127" s="5">
        <v>0</v>
      </c>
      <c r="BK127" s="5">
        <f>Tableau1[[#This Row],[Base de financement]]-Tableau1[[#This Row],[Subvention ANRU]]-Tableau1[[#This Row],[Ville]]-Tableau1[[#This Row],[Plaine Commune]]-Tableau1[[#This Row],[Bailleurs]]-Tableau1[[#This Row],[CDC]]-Tableau1[[#This Row],[CD93]]-Tableau1[[#This Row],[CRIF]]-Tableau1[[#This Row],[Europe]]-Tableau1[[#This Row],[Autres]]</f>
        <v>0</v>
      </c>
      <c r="BL127" s="412">
        <f>S127-T127-V127-W127-Y127-Z127-AA127-AB127-AC127-AD127-AE127-AF127-AG127-AH127-AI127-AJ127-AK127-AL127-AM127-AN127-AO127-AP127-AQ127-AR127-AS127-AT127-AU127-AV127-AW127-AY127-BE127-BF127-Tableau1[[#This Row],[Ville de Pantin ]]-Tableau1[[#This Row],[Est-Ensemble ]]-Tableau1[[#This Row],[ASGO]]</f>
        <v>0</v>
      </c>
    </row>
    <row r="128" spans="1:64" ht="20.100000000000001" customHeight="1" x14ac:dyDescent="0.25">
      <c r="A128" s="5" t="s">
        <v>418</v>
      </c>
      <c r="B128" s="5" t="s">
        <v>513</v>
      </c>
      <c r="C128" s="14" t="s">
        <v>1281</v>
      </c>
      <c r="D128" s="5" t="s">
        <v>498</v>
      </c>
      <c r="E128" s="5" t="s">
        <v>36</v>
      </c>
      <c r="F128" s="5" t="s">
        <v>37</v>
      </c>
      <c r="G128" s="5" t="s">
        <v>509</v>
      </c>
      <c r="H128" s="404" t="s">
        <v>514</v>
      </c>
      <c r="I128" s="5" t="s">
        <v>511</v>
      </c>
      <c r="J128" s="5" t="s">
        <v>40</v>
      </c>
      <c r="K128" s="5" t="s">
        <v>41</v>
      </c>
      <c r="L128" s="5" t="s">
        <v>22</v>
      </c>
      <c r="O128" s="5" t="s">
        <v>42</v>
      </c>
      <c r="P128" s="5" t="s">
        <v>515</v>
      </c>
      <c r="Q128" s="227">
        <v>40000</v>
      </c>
      <c r="R128" s="7">
        <v>48000</v>
      </c>
      <c r="S128" s="7">
        <v>40000</v>
      </c>
      <c r="T128" s="7">
        <v>16000</v>
      </c>
      <c r="U128" s="7"/>
      <c r="V128" s="7">
        <v>0</v>
      </c>
      <c r="W128" s="7">
        <v>20000</v>
      </c>
      <c r="X128" s="7">
        <v>0</v>
      </c>
      <c r="Y128" s="7"/>
      <c r="Z128" s="7"/>
      <c r="AA128" s="7"/>
      <c r="AB128" s="7"/>
      <c r="AC128" s="7"/>
      <c r="AD128" s="7"/>
      <c r="AE128" s="7"/>
      <c r="AF128" s="7"/>
      <c r="AG128" s="7"/>
      <c r="AH128" s="7"/>
      <c r="AI128" s="7"/>
      <c r="AJ128" s="7"/>
      <c r="AK128" s="7"/>
      <c r="AL128" s="7"/>
      <c r="AM128" s="7"/>
      <c r="AN128" s="7"/>
      <c r="AO128" s="7"/>
      <c r="AP128" s="7"/>
      <c r="AQ128" s="7"/>
      <c r="AR128" s="7"/>
      <c r="AS128" s="7"/>
      <c r="AT128" s="7">
        <v>4000</v>
      </c>
      <c r="AU128" s="7">
        <v>0</v>
      </c>
      <c r="AV128" s="7">
        <v>0</v>
      </c>
      <c r="AW128" s="7">
        <v>0</v>
      </c>
      <c r="AX128" s="7">
        <v>0</v>
      </c>
      <c r="BG128" s="8">
        <v>42445</v>
      </c>
      <c r="BH128" s="5">
        <v>6</v>
      </c>
      <c r="BI128" s="5">
        <v>0</v>
      </c>
      <c r="BJ128" s="5">
        <v>0</v>
      </c>
      <c r="BK128" s="5">
        <f>Tableau1[[#This Row],[Base de financement]]-Tableau1[[#This Row],[Subvention ANRU]]-Tableau1[[#This Row],[Ville]]-Tableau1[[#This Row],[Plaine Commune]]-Tableau1[[#This Row],[Bailleurs]]-Tableau1[[#This Row],[CDC]]-Tableau1[[#This Row],[CD93]]-Tableau1[[#This Row],[CRIF]]-Tableau1[[#This Row],[Europe]]-Tableau1[[#This Row],[Autres]]</f>
        <v>0</v>
      </c>
      <c r="BL128" s="412">
        <f>S128-T128-V128-W128-Y128-Z128-AA128-AB128-AC128-AD128-AE128-AF128-AG128-AH128-AI128-AJ128-AK128-AL128-AM128-AN128-AO128-AP128-AQ128-AR128-AS128-AT128-AU128-AV128-AW128-AY128-BE128-BF128-Tableau1[[#This Row],[Ville de Pantin ]]-Tableau1[[#This Row],[Est-Ensemble ]]-Tableau1[[#This Row],[ASGO]]</f>
        <v>0</v>
      </c>
    </row>
    <row r="129" spans="1:64" ht="20.100000000000001" customHeight="1" x14ac:dyDescent="0.25">
      <c r="A129" s="5" t="s">
        <v>418</v>
      </c>
      <c r="B129" s="5" t="s">
        <v>516</v>
      </c>
      <c r="C129" s="14" t="s">
        <v>1281</v>
      </c>
      <c r="D129" s="5" t="s">
        <v>498</v>
      </c>
      <c r="E129" s="5" t="s">
        <v>36</v>
      </c>
      <c r="F129" s="5" t="s">
        <v>37</v>
      </c>
      <c r="G129" s="5" t="s">
        <v>509</v>
      </c>
      <c r="H129" s="404" t="s">
        <v>517</v>
      </c>
      <c r="I129" s="5" t="s">
        <v>511</v>
      </c>
      <c r="J129" s="5" t="s">
        <v>40</v>
      </c>
      <c r="K129" s="5" t="s">
        <v>47</v>
      </c>
      <c r="L129" s="5" t="s">
        <v>22</v>
      </c>
      <c r="O129" s="5" t="s">
        <v>42</v>
      </c>
      <c r="P129" s="5" t="s">
        <v>518</v>
      </c>
      <c r="Q129" s="227">
        <v>40000</v>
      </c>
      <c r="R129" s="7">
        <v>48000</v>
      </c>
      <c r="S129" s="7">
        <v>40000</v>
      </c>
      <c r="T129" s="7">
        <v>20000</v>
      </c>
      <c r="U129" s="7"/>
      <c r="V129" s="7">
        <v>0</v>
      </c>
      <c r="W129" s="7">
        <v>20000</v>
      </c>
      <c r="X129" s="7">
        <v>0</v>
      </c>
      <c r="Y129" s="7"/>
      <c r="Z129" s="7"/>
      <c r="AA129" s="7"/>
      <c r="AB129" s="7"/>
      <c r="AC129" s="7"/>
      <c r="AD129" s="7"/>
      <c r="AE129" s="7"/>
      <c r="AF129" s="7"/>
      <c r="AG129" s="7"/>
      <c r="AH129" s="7"/>
      <c r="AI129" s="7"/>
      <c r="AJ129" s="7"/>
      <c r="AK129" s="7"/>
      <c r="AL129" s="7"/>
      <c r="AM129" s="7"/>
      <c r="AN129" s="7"/>
      <c r="AO129" s="7"/>
      <c r="AP129" s="7"/>
      <c r="AQ129" s="7"/>
      <c r="AR129" s="7"/>
      <c r="AS129" s="7"/>
      <c r="AT129" s="7">
        <v>0</v>
      </c>
      <c r="AU129" s="7">
        <v>0</v>
      </c>
      <c r="AV129" s="7">
        <v>0</v>
      </c>
      <c r="AW129" s="7">
        <v>0</v>
      </c>
      <c r="AX129" s="7">
        <v>0</v>
      </c>
      <c r="BG129" s="8">
        <v>42445</v>
      </c>
      <c r="BH129" s="5">
        <v>18</v>
      </c>
      <c r="BI129" s="5">
        <v>0</v>
      </c>
      <c r="BJ129" s="5">
        <v>0</v>
      </c>
      <c r="BK129" s="5">
        <f>Tableau1[[#This Row],[Base de financement]]-Tableau1[[#This Row],[Subvention ANRU]]-Tableau1[[#This Row],[Ville]]-Tableau1[[#This Row],[Plaine Commune]]-Tableau1[[#This Row],[Bailleurs]]-Tableau1[[#This Row],[CDC]]-Tableau1[[#This Row],[CD93]]-Tableau1[[#This Row],[CRIF]]-Tableau1[[#This Row],[Europe]]-Tableau1[[#This Row],[Autres]]</f>
        <v>0</v>
      </c>
      <c r="BL129" s="412">
        <f>S129-T129-V129-W129-Y129-Z129-AA129-AB129-AC129-AD129-AE129-AF129-AG129-AH129-AI129-AJ129-AK129-AL129-AM129-AN129-AO129-AP129-AQ129-AR129-AS129-AT129-AU129-AV129-AW129-AY129-BE129-BF129-Tableau1[[#This Row],[Ville de Pantin ]]-Tableau1[[#This Row],[Est-Ensemble ]]-Tableau1[[#This Row],[ASGO]]</f>
        <v>0</v>
      </c>
    </row>
    <row r="130" spans="1:64" ht="20.100000000000001" hidden="1" customHeight="1" x14ac:dyDescent="0.25">
      <c r="A130" s="5" t="s">
        <v>418</v>
      </c>
      <c r="B130" s="5" t="s">
        <v>497</v>
      </c>
      <c r="C130" s="14" t="s">
        <v>1348</v>
      </c>
      <c r="D130" s="5" t="s">
        <v>498</v>
      </c>
      <c r="E130" s="5" t="s">
        <v>260</v>
      </c>
      <c r="F130" s="5" t="s">
        <v>37</v>
      </c>
      <c r="H130" s="404" t="s">
        <v>499</v>
      </c>
      <c r="I130" s="5" t="s">
        <v>500</v>
      </c>
      <c r="J130" s="5" t="s">
        <v>53</v>
      </c>
      <c r="K130" s="5" t="s">
        <v>61</v>
      </c>
      <c r="L130" s="5" t="s">
        <v>501</v>
      </c>
      <c r="O130" s="5" t="s">
        <v>42</v>
      </c>
      <c r="P130" s="5" t="s">
        <v>502</v>
      </c>
      <c r="Q130" s="227">
        <v>24000</v>
      </c>
      <c r="R130" s="7">
        <v>28800</v>
      </c>
      <c r="S130" s="7">
        <v>24000</v>
      </c>
      <c r="T130" s="7">
        <v>12000</v>
      </c>
      <c r="U130" s="7" t="s">
        <v>474</v>
      </c>
      <c r="V130" s="7">
        <v>0</v>
      </c>
      <c r="W130" s="7">
        <v>6000</v>
      </c>
      <c r="X130" s="227">
        <v>6000</v>
      </c>
      <c r="Y130" s="7"/>
      <c r="Z130" s="7"/>
      <c r="AA130" s="7"/>
      <c r="AB130" s="7"/>
      <c r="AC130" s="7"/>
      <c r="AD130" s="7"/>
      <c r="AE130" s="7"/>
      <c r="AF130" s="7"/>
      <c r="AG130" s="7"/>
      <c r="AH130" s="7">
        <v>6000</v>
      </c>
      <c r="AI130" s="7"/>
      <c r="AJ130" s="7"/>
      <c r="AK130" s="7"/>
      <c r="AL130" s="7"/>
      <c r="AM130" s="7"/>
      <c r="AN130" s="7"/>
      <c r="AO130" s="7"/>
      <c r="AP130" s="7"/>
      <c r="AQ130" s="7"/>
      <c r="AR130" s="7"/>
      <c r="AS130" s="7"/>
      <c r="AT130" s="7">
        <v>0</v>
      </c>
      <c r="AU130" s="7">
        <v>0</v>
      </c>
      <c r="AV130" s="7">
        <v>0</v>
      </c>
      <c r="AW130" s="7">
        <v>0</v>
      </c>
      <c r="AX130" s="7">
        <v>0</v>
      </c>
      <c r="BG130" s="8">
        <v>42445</v>
      </c>
      <c r="BH130" s="5">
        <v>3</v>
      </c>
      <c r="BI130" s="5">
        <v>0</v>
      </c>
      <c r="BJ130" s="5">
        <v>0</v>
      </c>
      <c r="BK130" s="5">
        <f>Tableau1[[#This Row],[Base de financement]]-Tableau1[[#This Row],[Subvention ANRU]]-Tableau1[[#This Row],[Ville]]-Tableau1[[#This Row],[Plaine Commune]]-Tableau1[[#This Row],[Bailleurs]]-Tableau1[[#This Row],[CDC]]-Tableau1[[#This Row],[CD93]]-Tableau1[[#This Row],[CRIF]]-Tableau1[[#This Row],[Europe]]-Tableau1[[#This Row],[Autres]]</f>
        <v>0</v>
      </c>
      <c r="BL130" s="412">
        <f>S130-T130-V130-W130-Y130-Z130-AA130-AB130-AC130-AD130-AE130-AF130-AG130-AH130-AI130-AJ130-AK130-AL130-AM130-AN130-AO130-AP130-AQ130-AR130-AS130-AT130-AU130-AV130-AW130-AY130-BE130-BF130-Tableau1[[#This Row],[Ville de Pantin ]]-Tableau1[[#This Row],[Est-Ensemble ]]-Tableau1[[#This Row],[ASGO]]</f>
        <v>0</v>
      </c>
    </row>
    <row r="131" spans="1:64" ht="20.100000000000001" hidden="1" customHeight="1" x14ac:dyDescent="0.25">
      <c r="A131" s="5" t="s">
        <v>418</v>
      </c>
      <c r="B131" s="5" t="s">
        <v>521</v>
      </c>
      <c r="C131" s="14" t="s">
        <v>1282</v>
      </c>
      <c r="D131" s="5" t="s">
        <v>498</v>
      </c>
      <c r="F131" s="5" t="s">
        <v>37</v>
      </c>
      <c r="H131" s="404" t="s">
        <v>522</v>
      </c>
      <c r="J131" s="5" t="s">
        <v>68</v>
      </c>
      <c r="K131" s="5" t="s">
        <v>69</v>
      </c>
      <c r="L131" s="5" t="s">
        <v>523</v>
      </c>
      <c r="O131" s="5" t="s">
        <v>42</v>
      </c>
      <c r="P131" s="5" t="s">
        <v>524</v>
      </c>
      <c r="Q131" s="227">
        <v>120000</v>
      </c>
      <c r="R131" s="7">
        <v>144000</v>
      </c>
      <c r="S131" s="7">
        <v>120000</v>
      </c>
      <c r="T131" s="7">
        <v>60000</v>
      </c>
      <c r="U131" s="7"/>
      <c r="V131" s="7">
        <v>0</v>
      </c>
      <c r="W131" s="7">
        <v>0</v>
      </c>
      <c r="X131" s="7">
        <v>60000</v>
      </c>
      <c r="Y131" s="7"/>
      <c r="Z131" s="7"/>
      <c r="AA131" s="7"/>
      <c r="AB131" s="7"/>
      <c r="AC131" s="7"/>
      <c r="AD131" s="7">
        <v>60000</v>
      </c>
      <c r="AE131" s="7"/>
      <c r="AF131" s="7"/>
      <c r="AG131" s="7"/>
      <c r="AH131" s="7"/>
      <c r="AI131" s="7"/>
      <c r="AJ131" s="7"/>
      <c r="AK131" s="7"/>
      <c r="AL131" s="7"/>
      <c r="AM131" s="7"/>
      <c r="AN131" s="7"/>
      <c r="AO131" s="7"/>
      <c r="AP131" s="7"/>
      <c r="AQ131" s="7"/>
      <c r="AR131" s="7"/>
      <c r="AS131" s="7"/>
      <c r="AT131" s="7">
        <v>0</v>
      </c>
      <c r="AU131" s="7">
        <v>0</v>
      </c>
      <c r="AV131" s="7">
        <v>0</v>
      </c>
      <c r="AW131" s="7">
        <v>0</v>
      </c>
      <c r="AX131" s="7">
        <v>0</v>
      </c>
      <c r="BG131" s="8">
        <v>42445</v>
      </c>
      <c r="BH131" s="5">
        <v>8</v>
      </c>
      <c r="BI131" s="5">
        <v>897</v>
      </c>
      <c r="BJ131" s="5">
        <v>0</v>
      </c>
      <c r="BK131" s="5">
        <f>Tableau1[[#This Row],[Base de financement]]-Tableau1[[#This Row],[Subvention ANRU]]-Tableau1[[#This Row],[Ville]]-Tableau1[[#This Row],[Plaine Commune]]-Tableau1[[#This Row],[Bailleurs]]-Tableau1[[#This Row],[CDC]]-Tableau1[[#This Row],[CD93]]-Tableau1[[#This Row],[CRIF]]-Tableau1[[#This Row],[Europe]]-Tableau1[[#This Row],[Autres]]</f>
        <v>0</v>
      </c>
      <c r="BL131" s="412">
        <f>S131-T131-V131-W131-Y131-Z131-AA131-AB131-AC131-AD131-AE131-AF131-AG131-AH131-AI131-AJ131-AK131-AL131-AM131-AN131-AO131-AP131-AQ131-AR131-AS131-AT131-AU131-AV131-AW131-AY131-BE131-BF131-Tableau1[[#This Row],[Ville de Pantin ]]-Tableau1[[#This Row],[Est-Ensemble ]]-Tableau1[[#This Row],[ASGO]]</f>
        <v>0</v>
      </c>
    </row>
    <row r="132" spans="1:64" ht="20.100000000000001" hidden="1" customHeight="1" x14ac:dyDescent="0.25">
      <c r="A132" s="5" t="s">
        <v>418</v>
      </c>
      <c r="B132" s="5" t="s">
        <v>525</v>
      </c>
      <c r="C132" s="14" t="s">
        <v>1283</v>
      </c>
      <c r="D132" s="5" t="s">
        <v>498</v>
      </c>
      <c r="F132" s="5" t="s">
        <v>37</v>
      </c>
      <c r="H132" s="404" t="s">
        <v>526</v>
      </c>
      <c r="J132" s="5" t="s">
        <v>68</v>
      </c>
      <c r="K132" s="5" t="s">
        <v>69</v>
      </c>
      <c r="L132" s="5" t="s">
        <v>523</v>
      </c>
      <c r="O132" s="5" t="s">
        <v>42</v>
      </c>
      <c r="P132" s="5" t="s">
        <v>527</v>
      </c>
      <c r="Q132" s="227">
        <v>145000</v>
      </c>
      <c r="R132" s="7">
        <v>174000</v>
      </c>
      <c r="S132" s="7">
        <v>145000</v>
      </c>
      <c r="T132" s="7">
        <v>72500</v>
      </c>
      <c r="U132" s="7"/>
      <c r="V132" s="7">
        <v>0</v>
      </c>
      <c r="W132" s="7">
        <v>0</v>
      </c>
      <c r="X132" s="7">
        <v>72500</v>
      </c>
      <c r="Y132" s="7"/>
      <c r="Z132" s="7"/>
      <c r="AA132" s="7"/>
      <c r="AB132" s="7"/>
      <c r="AC132" s="7"/>
      <c r="AD132" s="7">
        <v>72500</v>
      </c>
      <c r="AE132" s="7"/>
      <c r="AF132" s="7"/>
      <c r="AG132" s="7"/>
      <c r="AH132" s="7"/>
      <c r="AI132" s="7"/>
      <c r="AJ132" s="7"/>
      <c r="AK132" s="7"/>
      <c r="AL132" s="7"/>
      <c r="AM132" s="7"/>
      <c r="AN132" s="7"/>
      <c r="AO132" s="7"/>
      <c r="AP132" s="7"/>
      <c r="AQ132" s="7"/>
      <c r="AR132" s="7"/>
      <c r="AS132" s="7"/>
      <c r="AT132" s="7">
        <v>0</v>
      </c>
      <c r="AU132" s="7">
        <v>0</v>
      </c>
      <c r="AV132" s="7">
        <v>0</v>
      </c>
      <c r="AW132" s="7">
        <v>0</v>
      </c>
      <c r="AX132" s="7">
        <v>0</v>
      </c>
      <c r="BG132" s="8">
        <v>42522</v>
      </c>
      <c r="BH132" s="5">
        <v>6</v>
      </c>
      <c r="BI132" s="5">
        <v>897</v>
      </c>
      <c r="BJ132" s="5">
        <v>0</v>
      </c>
      <c r="BK132" s="5">
        <f>Tableau1[[#This Row],[Base de financement]]-Tableau1[[#This Row],[Subvention ANRU]]-Tableau1[[#This Row],[Ville]]-Tableau1[[#This Row],[Plaine Commune]]-Tableau1[[#This Row],[Bailleurs]]-Tableau1[[#This Row],[CDC]]-Tableau1[[#This Row],[CD93]]-Tableau1[[#This Row],[CRIF]]-Tableau1[[#This Row],[Europe]]-Tableau1[[#This Row],[Autres]]</f>
        <v>0</v>
      </c>
      <c r="BL132" s="412">
        <f>S132-T132-V132-W132-Y132-Z132-AA132-AB132-AC132-AD132-AE132-AF132-AG132-AH132-AI132-AJ132-AK132-AL132-AM132-AN132-AO132-AP132-AQ132-AR132-AS132-AT132-AU132-AV132-AW132-AY132-BE132-BF132-Tableau1[[#This Row],[Ville de Pantin ]]-Tableau1[[#This Row],[Est-Ensemble ]]-Tableau1[[#This Row],[ASGO]]</f>
        <v>0</v>
      </c>
    </row>
    <row r="133" spans="1:64" ht="20.100000000000001" hidden="1" customHeight="1" x14ac:dyDescent="0.25">
      <c r="A133" s="5" t="s">
        <v>418</v>
      </c>
      <c r="B133" s="5" t="s">
        <v>528</v>
      </c>
      <c r="C133" s="14" t="s">
        <v>1284</v>
      </c>
      <c r="D133" s="5" t="s">
        <v>498</v>
      </c>
      <c r="F133" s="5" t="s">
        <v>37</v>
      </c>
      <c r="H133" s="404" t="s">
        <v>529</v>
      </c>
      <c r="J133" s="5" t="s">
        <v>68</v>
      </c>
      <c r="K133" s="5" t="s">
        <v>69</v>
      </c>
      <c r="L133" s="5" t="s">
        <v>280</v>
      </c>
      <c r="O133" s="5" t="s">
        <v>42</v>
      </c>
      <c r="P133" s="5" t="s">
        <v>530</v>
      </c>
      <c r="Q133" s="227">
        <v>17500</v>
      </c>
      <c r="R133" s="7">
        <v>21000</v>
      </c>
      <c r="S133" s="7">
        <v>17500</v>
      </c>
      <c r="T133" s="7">
        <v>8750</v>
      </c>
      <c r="U133" s="7"/>
      <c r="V133" s="7">
        <v>0</v>
      </c>
      <c r="W133" s="7">
        <v>0</v>
      </c>
      <c r="X133" s="7">
        <v>8750</v>
      </c>
      <c r="Y133" s="7"/>
      <c r="Z133" s="7"/>
      <c r="AA133" s="7"/>
      <c r="AB133" s="7"/>
      <c r="AC133" s="7"/>
      <c r="AD133" s="7"/>
      <c r="AE133" s="7"/>
      <c r="AF133" s="7"/>
      <c r="AG133" s="7"/>
      <c r="AH133" s="7"/>
      <c r="AI133" s="7"/>
      <c r="AJ133" s="7"/>
      <c r="AK133" s="7"/>
      <c r="AL133" s="7"/>
      <c r="AM133" s="7">
        <v>8750</v>
      </c>
      <c r="AN133" s="7"/>
      <c r="AO133" s="7"/>
      <c r="AP133" s="7"/>
      <c r="AQ133" s="7"/>
      <c r="AR133" s="7"/>
      <c r="AS133" s="7"/>
      <c r="AT133" s="7">
        <v>0</v>
      </c>
      <c r="AU133" s="7">
        <v>0</v>
      </c>
      <c r="AV133" s="7">
        <v>0</v>
      </c>
      <c r="AW133" s="7">
        <v>0</v>
      </c>
      <c r="AX133" s="7">
        <v>0</v>
      </c>
      <c r="BG133" s="8">
        <v>42461</v>
      </c>
      <c r="BH133" s="5">
        <v>18</v>
      </c>
      <c r="BI133" s="5">
        <v>184</v>
      </c>
      <c r="BJ133" s="5">
        <v>0</v>
      </c>
      <c r="BK133" s="5">
        <f>Tableau1[[#This Row],[Base de financement]]-Tableau1[[#This Row],[Subvention ANRU]]-Tableau1[[#This Row],[Ville]]-Tableau1[[#This Row],[Plaine Commune]]-Tableau1[[#This Row],[Bailleurs]]-Tableau1[[#This Row],[CDC]]-Tableau1[[#This Row],[CD93]]-Tableau1[[#This Row],[CRIF]]-Tableau1[[#This Row],[Europe]]-Tableau1[[#This Row],[Autres]]</f>
        <v>0</v>
      </c>
      <c r="BL133" s="412">
        <f>S133-T133-V133-W133-Y133-Z133-AA133-AB133-AC133-AD133-AE133-AF133-AG133-AH133-AI133-AJ133-AK133-AL133-AM133-AN133-AO133-AP133-AQ133-AR133-AS133-AT133-AU133-AV133-AW133-AY133-BE133-BF133-Tableau1[[#This Row],[Ville de Pantin ]]-Tableau1[[#This Row],[Est-Ensemble ]]-Tableau1[[#This Row],[ASGO]]</f>
        <v>0</v>
      </c>
    </row>
    <row r="134" spans="1:64" ht="20.100000000000001" customHeight="1" x14ac:dyDescent="0.25">
      <c r="A134" s="5" t="s">
        <v>418</v>
      </c>
      <c r="B134" s="5" t="s">
        <v>535</v>
      </c>
      <c r="C134" s="14" t="s">
        <v>1285</v>
      </c>
      <c r="D134" s="5" t="s">
        <v>532</v>
      </c>
      <c r="E134" s="5" t="s">
        <v>36</v>
      </c>
      <c r="F134" s="5" t="s">
        <v>533</v>
      </c>
      <c r="G134" s="5" t="s">
        <v>536</v>
      </c>
      <c r="H134" s="404" t="s">
        <v>537</v>
      </c>
      <c r="I134" s="5" t="s">
        <v>538</v>
      </c>
      <c r="J134" s="5" t="s">
        <v>40</v>
      </c>
      <c r="K134" s="5" t="s">
        <v>41</v>
      </c>
      <c r="L134" s="5" t="s">
        <v>22</v>
      </c>
      <c r="O134" s="5" t="s">
        <v>42</v>
      </c>
      <c r="P134" s="5" t="s">
        <v>539</v>
      </c>
      <c r="Q134" s="227">
        <v>0</v>
      </c>
      <c r="R134" s="7">
        <v>0</v>
      </c>
      <c r="S134" s="7">
        <v>0</v>
      </c>
      <c r="T134" s="7">
        <v>0</v>
      </c>
      <c r="U134" s="7" t="s">
        <v>540</v>
      </c>
      <c r="V134" s="7">
        <v>0</v>
      </c>
      <c r="W134" s="7">
        <v>0</v>
      </c>
      <c r="X134" s="7">
        <v>0</v>
      </c>
      <c r="Y134" s="7"/>
      <c r="Z134" s="7"/>
      <c r="AA134" s="7"/>
      <c r="AB134" s="7"/>
      <c r="AC134" s="7"/>
      <c r="AD134" s="7"/>
      <c r="AE134" s="7"/>
      <c r="AF134" s="7"/>
      <c r="AG134" s="7"/>
      <c r="AH134" s="7"/>
      <c r="AI134" s="7"/>
      <c r="AJ134" s="7"/>
      <c r="AK134" s="7"/>
      <c r="AL134" s="7"/>
      <c r="AM134" s="7"/>
      <c r="AN134" s="7"/>
      <c r="AO134" s="7"/>
      <c r="AP134" s="7"/>
      <c r="AQ134" s="7"/>
      <c r="AR134" s="7"/>
      <c r="AS134" s="7"/>
      <c r="AT134" s="7">
        <v>0</v>
      </c>
      <c r="AU134" s="7">
        <v>0</v>
      </c>
      <c r="AV134" s="7">
        <v>0</v>
      </c>
      <c r="AW134" s="7">
        <v>0</v>
      </c>
      <c r="AX134" s="7">
        <v>0</v>
      </c>
      <c r="BG134" s="8">
        <v>42430</v>
      </c>
      <c r="BH134" s="5">
        <v>2</v>
      </c>
      <c r="BI134" s="5">
        <v>0</v>
      </c>
      <c r="BJ134" s="5">
        <v>0</v>
      </c>
      <c r="BK134" s="14">
        <f>Tableau1[[#This Row],[Base de financement]]-Tableau1[[#This Row],[Subvention ANRU]]-Tableau1[[#This Row],[Ville]]-Tableau1[[#This Row],[Plaine Commune]]-Tableau1[[#This Row],[Bailleurs]]-Tableau1[[#This Row],[CDC]]-Tableau1[[#This Row],[CD93]]-Tableau1[[#This Row],[CRIF]]-Tableau1[[#This Row],[Europe]]-Tableau1[[#This Row],[Autres]]</f>
        <v>0</v>
      </c>
      <c r="BL134" s="413">
        <f>S134-T134-V134-W134-Y134-Z134-AA134-AB134-AC134-AD134-AE134-AF134-AG134-AH134-AI134-AJ134-AK134-AL134-AM134-AN134-AO134-AP134-AQ134-AR134-AS134-AT134-AU134-AV134-AW134-AY134-BE134-BF134-Tableau1[[#This Row],[Ville de Pantin ]]-Tableau1[[#This Row],[Est-Ensemble ]]-Tableau1[[#This Row],[ASGO]]</f>
        <v>0</v>
      </c>
    </row>
    <row r="135" spans="1:64" ht="20.100000000000001" customHeight="1" x14ac:dyDescent="0.25">
      <c r="A135" s="5" t="s">
        <v>418</v>
      </c>
      <c r="B135" s="5" t="s">
        <v>541</v>
      </c>
      <c r="C135" s="14" t="s">
        <v>1285</v>
      </c>
      <c r="D135" s="5" t="s">
        <v>532</v>
      </c>
      <c r="E135" s="5" t="s">
        <v>36</v>
      </c>
      <c r="F135" s="5" t="s">
        <v>533</v>
      </c>
      <c r="G135" s="5" t="s">
        <v>536</v>
      </c>
      <c r="H135" s="404" t="s">
        <v>542</v>
      </c>
      <c r="I135" s="5" t="s">
        <v>538</v>
      </c>
      <c r="J135" s="5" t="s">
        <v>40</v>
      </c>
      <c r="K135" s="5" t="s">
        <v>41</v>
      </c>
      <c r="L135" s="5" t="s">
        <v>22</v>
      </c>
      <c r="O135" s="5" t="s">
        <v>42</v>
      </c>
      <c r="P135" s="5" t="s">
        <v>543</v>
      </c>
      <c r="Q135" s="227">
        <v>80000</v>
      </c>
      <c r="R135" s="7">
        <v>96000</v>
      </c>
      <c r="S135" s="7">
        <v>80000</v>
      </c>
      <c r="T135" s="7">
        <v>32000</v>
      </c>
      <c r="U135" s="7" t="s">
        <v>544</v>
      </c>
      <c r="V135" s="7">
        <v>0</v>
      </c>
      <c r="W135" s="7">
        <v>20000</v>
      </c>
      <c r="X135" s="7">
        <v>20000</v>
      </c>
      <c r="Y135" s="7"/>
      <c r="Z135" s="7"/>
      <c r="AA135" s="7"/>
      <c r="AB135" s="7"/>
      <c r="AC135" s="7"/>
      <c r="AD135" s="7"/>
      <c r="AE135" s="7"/>
      <c r="AF135" s="7"/>
      <c r="AG135" s="7"/>
      <c r="AH135" s="7">
        <v>20000</v>
      </c>
      <c r="AI135" s="7"/>
      <c r="AJ135" s="7"/>
      <c r="AK135" s="7"/>
      <c r="AL135" s="7"/>
      <c r="AM135" s="7"/>
      <c r="AN135" s="7"/>
      <c r="AO135" s="7"/>
      <c r="AP135" s="7"/>
      <c r="AQ135" s="7"/>
      <c r="AR135" s="7"/>
      <c r="AS135" s="7"/>
      <c r="AT135" s="7">
        <v>8000</v>
      </c>
      <c r="AU135" s="7">
        <v>0</v>
      </c>
      <c r="AV135" s="7">
        <v>0</v>
      </c>
      <c r="AW135" s="7">
        <v>0</v>
      </c>
      <c r="AX135" s="7">
        <v>0</v>
      </c>
      <c r="BG135" s="8">
        <v>42445</v>
      </c>
      <c r="BH135" s="5">
        <v>18</v>
      </c>
      <c r="BI135" s="5">
        <v>0</v>
      </c>
      <c r="BJ135" s="5">
        <v>0</v>
      </c>
      <c r="BK135" s="5">
        <f>Tableau1[[#This Row],[Base de financement]]-Tableau1[[#This Row],[Subvention ANRU]]-Tableau1[[#This Row],[Ville]]-Tableau1[[#This Row],[Plaine Commune]]-Tableau1[[#This Row],[Bailleurs]]-Tableau1[[#This Row],[CDC]]-Tableau1[[#This Row],[CD93]]-Tableau1[[#This Row],[CRIF]]-Tableau1[[#This Row],[Europe]]-Tableau1[[#This Row],[Autres]]</f>
        <v>0</v>
      </c>
      <c r="BL135" s="412">
        <f>S135-T135-V135-W135-Y135-Z135-AA135-AB135-AC135-AD135-AE135-AF135-AG135-AH135-AI135-AJ135-AK135-AL135-AM135-AN135-AO135-AP135-AQ135-AR135-AS135-AT135-AU135-AV135-AW135-AY135-BE135-BF135-Tableau1[[#This Row],[Ville de Pantin ]]-Tableau1[[#This Row],[Est-Ensemble ]]-Tableau1[[#This Row],[ASGO]]</f>
        <v>0</v>
      </c>
    </row>
    <row r="136" spans="1:64" ht="20.100000000000001" hidden="1" customHeight="1" x14ac:dyDescent="0.25">
      <c r="A136" s="5" t="s">
        <v>418</v>
      </c>
      <c r="B136" s="5" t="s">
        <v>545</v>
      </c>
      <c r="C136" s="14" t="s">
        <v>1286</v>
      </c>
      <c r="D136" s="5" t="s">
        <v>532</v>
      </c>
      <c r="F136" s="5" t="s">
        <v>533</v>
      </c>
      <c r="H136" s="404" t="s">
        <v>546</v>
      </c>
      <c r="J136" s="5" t="s">
        <v>40</v>
      </c>
      <c r="K136" s="5" t="s">
        <v>41</v>
      </c>
      <c r="L136" s="5" t="s">
        <v>411</v>
      </c>
      <c r="O136" s="5" t="s">
        <v>42</v>
      </c>
      <c r="P136" s="5" t="s">
        <v>547</v>
      </c>
      <c r="Q136" s="227">
        <v>30000</v>
      </c>
      <c r="R136" s="7">
        <v>36000</v>
      </c>
      <c r="S136" s="7">
        <v>30000</v>
      </c>
      <c r="T136" s="7">
        <v>15000</v>
      </c>
      <c r="U136" s="7" t="s">
        <v>548</v>
      </c>
      <c r="V136" s="7">
        <v>7500</v>
      </c>
      <c r="W136" s="7">
        <v>0</v>
      </c>
      <c r="X136" s="7">
        <v>7500</v>
      </c>
      <c r="Y136" s="7"/>
      <c r="Z136" s="7"/>
      <c r="AA136" s="7"/>
      <c r="AB136" s="7"/>
      <c r="AC136" s="7">
        <v>7500</v>
      </c>
      <c r="AD136" s="7"/>
      <c r="AE136" s="7"/>
      <c r="AF136" s="7"/>
      <c r="AG136" s="7"/>
      <c r="AH136" s="7"/>
      <c r="AI136" s="7"/>
      <c r="AJ136" s="7"/>
      <c r="AK136" s="7"/>
      <c r="AL136" s="7"/>
      <c r="AM136" s="7"/>
      <c r="AN136" s="7"/>
      <c r="AO136" s="7"/>
      <c r="AP136" s="7"/>
      <c r="AQ136" s="7"/>
      <c r="AR136" s="7"/>
      <c r="AS136" s="7"/>
      <c r="AT136" s="7">
        <v>0</v>
      </c>
      <c r="AU136" s="7">
        <v>0</v>
      </c>
      <c r="AV136" s="7">
        <v>0</v>
      </c>
      <c r="AW136" s="7">
        <v>0</v>
      </c>
      <c r="AX136" s="7">
        <v>0</v>
      </c>
      <c r="BG136" s="8">
        <v>42445</v>
      </c>
      <c r="BH136" s="5">
        <v>12</v>
      </c>
      <c r="BJ136" s="5">
        <v>0</v>
      </c>
      <c r="BK136" s="5">
        <f>Tableau1[[#This Row],[Base de financement]]-Tableau1[[#This Row],[Subvention ANRU]]-Tableau1[[#This Row],[Ville]]-Tableau1[[#This Row],[Plaine Commune]]-Tableau1[[#This Row],[Bailleurs]]-Tableau1[[#This Row],[CDC]]-Tableau1[[#This Row],[CD93]]-Tableau1[[#This Row],[CRIF]]-Tableau1[[#This Row],[Europe]]-Tableau1[[#This Row],[Autres]]</f>
        <v>0</v>
      </c>
      <c r="BL136" s="412">
        <f>S136-T136-V136-W136-Y136-Z136-AA136-AB136-AC136-AD136-AE136-AF136-AG136-AH136-AI136-AJ136-AK136-AL136-AM136-AN136-AO136-AP136-AQ136-AR136-AS136-AT136-AU136-AV136-AW136-AY136-BE136-BF136-Tableau1[[#This Row],[Ville de Pantin ]]-Tableau1[[#This Row],[Est-Ensemble ]]-Tableau1[[#This Row],[ASGO]]</f>
        <v>0</v>
      </c>
    </row>
    <row r="137" spans="1:64" ht="20.100000000000001" customHeight="1" x14ac:dyDescent="0.25">
      <c r="A137" s="5" t="s">
        <v>418</v>
      </c>
      <c r="B137" s="5" t="s">
        <v>434</v>
      </c>
      <c r="C137" s="14" t="s">
        <v>1264</v>
      </c>
      <c r="D137" s="14" t="s">
        <v>1021</v>
      </c>
      <c r="E137" s="5" t="s">
        <v>260</v>
      </c>
      <c r="F137" s="5" t="s">
        <v>420</v>
      </c>
      <c r="G137" s="5" t="s">
        <v>435</v>
      </c>
      <c r="H137" s="404" t="s">
        <v>436</v>
      </c>
      <c r="I137" s="5" t="s">
        <v>437</v>
      </c>
      <c r="J137" s="5" t="s">
        <v>128</v>
      </c>
      <c r="K137" s="5" t="s">
        <v>41</v>
      </c>
      <c r="L137" s="5" t="s">
        <v>22</v>
      </c>
      <c r="O137" s="5" t="s">
        <v>42</v>
      </c>
      <c r="P137" s="5" t="s">
        <v>438</v>
      </c>
      <c r="Q137" s="227">
        <v>0</v>
      </c>
      <c r="R137" s="7">
        <v>0</v>
      </c>
      <c r="S137" s="7">
        <v>0</v>
      </c>
      <c r="T137" s="7">
        <v>0</v>
      </c>
      <c r="U137" s="7" t="s">
        <v>439</v>
      </c>
      <c r="V137" s="7">
        <v>0</v>
      </c>
      <c r="W137" s="7">
        <v>0</v>
      </c>
      <c r="X137" s="7">
        <v>0</v>
      </c>
      <c r="Y137" s="7"/>
      <c r="Z137" s="7"/>
      <c r="AA137" s="7"/>
      <c r="AB137" s="7"/>
      <c r="AC137" s="7"/>
      <c r="AD137" s="7"/>
      <c r="AE137" s="7"/>
      <c r="AF137" s="7"/>
      <c r="AG137" s="7"/>
      <c r="AH137" s="7"/>
      <c r="AI137" s="7"/>
      <c r="AJ137" s="7"/>
      <c r="AK137" s="7"/>
      <c r="AL137" s="7"/>
      <c r="AM137" s="7"/>
      <c r="AN137" s="7"/>
      <c r="AO137" s="7"/>
      <c r="AP137" s="7"/>
      <c r="AQ137" s="7"/>
      <c r="AR137" s="7"/>
      <c r="AS137" s="7"/>
      <c r="AT137" s="7">
        <v>0</v>
      </c>
      <c r="AU137" s="7">
        <v>0</v>
      </c>
      <c r="AV137" s="7">
        <v>0</v>
      </c>
      <c r="AW137" s="7">
        <v>0</v>
      </c>
      <c r="AX137" s="7">
        <v>0</v>
      </c>
      <c r="BG137" s="8">
        <v>42430</v>
      </c>
      <c r="BH137" s="5">
        <v>4</v>
      </c>
      <c r="BI137" s="5">
        <v>0</v>
      </c>
      <c r="BJ137" s="5">
        <v>0</v>
      </c>
      <c r="BK137" s="5">
        <f>Tableau1[[#This Row],[Base de financement]]-Tableau1[[#This Row],[Subvention ANRU]]-Tableau1[[#This Row],[Ville]]-Tableau1[[#This Row],[Plaine Commune]]-Tableau1[[#This Row],[Bailleurs]]-Tableau1[[#This Row],[CDC]]-Tableau1[[#This Row],[CD93]]-Tableau1[[#This Row],[CRIF]]-Tableau1[[#This Row],[Europe]]-Tableau1[[#This Row],[Autres]]</f>
        <v>0</v>
      </c>
      <c r="BL137" s="412">
        <f>S137-T137-V137-W137-Y137-Z137-AA137-AB137-AC137-AD137-AE137-AF137-AG137-AH137-AI137-AJ137-AK137-AL137-AM137-AN137-AO137-AP137-AQ137-AR137-AS137-AT137-AU137-AV137-AW137-AY137-BE137-BF137-Tableau1[[#This Row],[Ville de Pantin ]]-Tableau1[[#This Row],[Est-Ensemble ]]-Tableau1[[#This Row],[ASGO]]</f>
        <v>0</v>
      </c>
    </row>
    <row r="138" spans="1:64" ht="20.100000000000001" customHeight="1" x14ac:dyDescent="0.25">
      <c r="A138" s="5" t="s">
        <v>418</v>
      </c>
      <c r="B138" s="5" t="s">
        <v>440</v>
      </c>
      <c r="C138" s="14" t="s">
        <v>1264</v>
      </c>
      <c r="D138" s="14" t="s">
        <v>1021</v>
      </c>
      <c r="E138" s="5" t="s">
        <v>260</v>
      </c>
      <c r="F138" s="5" t="s">
        <v>420</v>
      </c>
      <c r="G138" s="5" t="s">
        <v>435</v>
      </c>
      <c r="H138" s="404" t="s">
        <v>441</v>
      </c>
      <c r="I138" s="5" t="s">
        <v>437</v>
      </c>
      <c r="J138" s="5" t="s">
        <v>128</v>
      </c>
      <c r="K138" s="5" t="s">
        <v>41</v>
      </c>
      <c r="L138" s="5" t="s">
        <v>22</v>
      </c>
      <c r="O138" s="5" t="s">
        <v>42</v>
      </c>
      <c r="P138" s="5" t="s">
        <v>442</v>
      </c>
      <c r="Q138" s="227">
        <v>0</v>
      </c>
      <c r="R138" s="7">
        <v>0</v>
      </c>
      <c r="S138" s="7">
        <v>0</v>
      </c>
      <c r="T138" s="7">
        <v>0</v>
      </c>
      <c r="U138" s="7" t="s">
        <v>439</v>
      </c>
      <c r="V138" s="7">
        <v>0</v>
      </c>
      <c r="W138" s="7">
        <v>0</v>
      </c>
      <c r="X138" s="7">
        <v>0</v>
      </c>
      <c r="Y138" s="7"/>
      <c r="Z138" s="7"/>
      <c r="AA138" s="7"/>
      <c r="AB138" s="7"/>
      <c r="AC138" s="7"/>
      <c r="AD138" s="7"/>
      <c r="AE138" s="7"/>
      <c r="AF138" s="7"/>
      <c r="AG138" s="7"/>
      <c r="AH138" s="7"/>
      <c r="AI138" s="7"/>
      <c r="AJ138" s="7"/>
      <c r="AK138" s="7"/>
      <c r="AL138" s="7"/>
      <c r="AM138" s="7"/>
      <c r="AN138" s="7"/>
      <c r="AO138" s="7"/>
      <c r="AP138" s="7"/>
      <c r="AQ138" s="7"/>
      <c r="AR138" s="7"/>
      <c r="AS138" s="7"/>
      <c r="AT138" s="7">
        <v>0</v>
      </c>
      <c r="AU138" s="7">
        <v>0</v>
      </c>
      <c r="AV138" s="7">
        <v>0</v>
      </c>
      <c r="AW138" s="7">
        <v>0</v>
      </c>
      <c r="AX138" s="7">
        <v>0</v>
      </c>
      <c r="BG138" s="8">
        <v>42430</v>
      </c>
      <c r="BH138" s="5">
        <v>7</v>
      </c>
      <c r="BI138" s="5">
        <v>0</v>
      </c>
      <c r="BJ138" s="5">
        <v>0</v>
      </c>
      <c r="BK138" s="5">
        <f>Tableau1[[#This Row],[Base de financement]]-Tableau1[[#This Row],[Subvention ANRU]]-Tableau1[[#This Row],[Ville]]-Tableau1[[#This Row],[Plaine Commune]]-Tableau1[[#This Row],[Bailleurs]]-Tableau1[[#This Row],[CDC]]-Tableau1[[#This Row],[CD93]]-Tableau1[[#This Row],[CRIF]]-Tableau1[[#This Row],[Europe]]-Tableau1[[#This Row],[Autres]]</f>
        <v>0</v>
      </c>
      <c r="BL138" s="412">
        <f>S138-T138-V138-W138-Y138-Z138-AA138-AB138-AC138-AD138-AE138-AF138-AG138-AH138-AI138-AJ138-AK138-AL138-AM138-AN138-AO138-AP138-AQ138-AR138-AS138-AT138-AU138-AV138-AW138-AY138-BE138-BF138-Tableau1[[#This Row],[Ville de Pantin ]]-Tableau1[[#This Row],[Est-Ensemble ]]-Tableau1[[#This Row],[ASGO]]</f>
        <v>0</v>
      </c>
    </row>
    <row r="139" spans="1:64" ht="20.100000000000001" customHeight="1" x14ac:dyDescent="0.25">
      <c r="A139" s="5" t="s">
        <v>418</v>
      </c>
      <c r="B139" s="5" t="s">
        <v>504</v>
      </c>
      <c r="C139" s="14" t="s">
        <v>1264</v>
      </c>
      <c r="D139" s="14" t="s">
        <v>1021</v>
      </c>
      <c r="E139" s="5" t="s">
        <v>260</v>
      </c>
      <c r="F139" s="5" t="s">
        <v>37</v>
      </c>
      <c r="G139" s="5" t="s">
        <v>435</v>
      </c>
      <c r="H139" s="404" t="s">
        <v>505</v>
      </c>
      <c r="I139" s="5" t="s">
        <v>437</v>
      </c>
      <c r="J139" s="5" t="s">
        <v>128</v>
      </c>
      <c r="K139" s="5" t="s">
        <v>41</v>
      </c>
      <c r="L139" s="5" t="s">
        <v>22</v>
      </c>
      <c r="O139" s="5" t="s">
        <v>42</v>
      </c>
      <c r="P139" s="5" t="s">
        <v>506</v>
      </c>
      <c r="Q139" s="227">
        <v>50000</v>
      </c>
      <c r="R139" s="7">
        <v>60000</v>
      </c>
      <c r="S139" s="7">
        <v>50000</v>
      </c>
      <c r="T139" s="7">
        <v>0</v>
      </c>
      <c r="U139" s="7" t="s">
        <v>507</v>
      </c>
      <c r="V139" s="7">
        <v>0</v>
      </c>
      <c r="W139" s="7">
        <v>25000</v>
      </c>
      <c r="X139" s="7">
        <v>0</v>
      </c>
      <c r="Y139" s="7"/>
      <c r="Z139" s="7"/>
      <c r="AA139" s="7"/>
      <c r="AB139" s="7"/>
      <c r="AC139" s="7"/>
      <c r="AD139" s="7"/>
      <c r="AE139" s="7"/>
      <c r="AF139" s="7"/>
      <c r="AG139" s="7"/>
      <c r="AH139" s="7"/>
      <c r="AI139" s="7"/>
      <c r="AJ139" s="7"/>
      <c r="AK139" s="7"/>
      <c r="AL139" s="7"/>
      <c r="AM139" s="7"/>
      <c r="AN139" s="7"/>
      <c r="AO139" s="7"/>
      <c r="AP139" s="7"/>
      <c r="AQ139" s="7"/>
      <c r="AR139" s="7"/>
      <c r="AS139" s="7"/>
      <c r="AT139" s="7">
        <v>25000</v>
      </c>
      <c r="AU139" s="7">
        <v>0</v>
      </c>
      <c r="AV139" s="7">
        <v>0</v>
      </c>
      <c r="AW139" s="7">
        <v>0</v>
      </c>
      <c r="AX139" s="7">
        <v>0</v>
      </c>
      <c r="BG139" s="8">
        <v>42309</v>
      </c>
      <c r="BH139" s="5">
        <v>6</v>
      </c>
      <c r="BI139" s="5">
        <v>0</v>
      </c>
      <c r="BJ139" s="5">
        <v>0</v>
      </c>
      <c r="BK139" s="5">
        <f>Tableau1[[#This Row],[Base de financement]]-Tableau1[[#This Row],[Subvention ANRU]]-Tableau1[[#This Row],[Ville]]-Tableau1[[#This Row],[Plaine Commune]]-Tableau1[[#This Row],[Bailleurs]]-Tableau1[[#This Row],[CDC]]-Tableau1[[#This Row],[CD93]]-Tableau1[[#This Row],[CRIF]]-Tableau1[[#This Row],[Europe]]-Tableau1[[#This Row],[Autres]]</f>
        <v>0</v>
      </c>
      <c r="BL139" s="412">
        <f>S139-T139-V139-W139-Y139-Z139-AA139-AB139-AC139-AD139-AE139-AF139-AG139-AH139-AI139-AJ139-AK139-AL139-AM139-AN139-AO139-AP139-AQ139-AR139-AS139-AT139-AU139-AV139-AW139-AY139-BE139-BF139-Tableau1[[#This Row],[Ville de Pantin ]]-Tableau1[[#This Row],[Est-Ensemble ]]-Tableau1[[#This Row],[ASGO]]</f>
        <v>0</v>
      </c>
    </row>
    <row r="140" spans="1:64" ht="20.100000000000001" hidden="1" customHeight="1" x14ac:dyDescent="0.25">
      <c r="A140" s="14" t="s">
        <v>418</v>
      </c>
      <c r="B140" s="14" t="s">
        <v>481</v>
      </c>
      <c r="C140" s="14" t="s">
        <v>1271</v>
      </c>
      <c r="D140" s="14" t="s">
        <v>1021</v>
      </c>
      <c r="E140" s="14" t="s">
        <v>428</v>
      </c>
      <c r="F140" s="14" t="s">
        <v>420</v>
      </c>
      <c r="G140" s="404" t="s">
        <v>482</v>
      </c>
      <c r="H140" s="404" t="s">
        <v>1272</v>
      </c>
      <c r="I140" s="14" t="s">
        <v>1272</v>
      </c>
      <c r="J140" s="404" t="s">
        <v>113</v>
      </c>
      <c r="K140" s="404" t="s">
        <v>113</v>
      </c>
      <c r="L140" s="404" t="s">
        <v>428</v>
      </c>
      <c r="M140" s="14"/>
      <c r="N140" s="14"/>
      <c r="O140" s="14" t="s">
        <v>42</v>
      </c>
      <c r="P140" s="14" t="s">
        <v>484</v>
      </c>
      <c r="Q140" s="227">
        <v>25000</v>
      </c>
      <c r="R140" s="13">
        <v>30000</v>
      </c>
      <c r="S140" s="13">
        <v>25000</v>
      </c>
      <c r="T140" s="13">
        <v>12500</v>
      </c>
      <c r="U140" s="7"/>
      <c r="V140" s="13">
        <v>12500</v>
      </c>
      <c r="W140" s="7">
        <v>0</v>
      </c>
      <c r="X140" s="13">
        <v>0</v>
      </c>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v>0</v>
      </c>
      <c r="AU140" s="13">
        <v>0</v>
      </c>
      <c r="AV140" s="7">
        <v>0</v>
      </c>
      <c r="AW140" s="13">
        <v>0</v>
      </c>
      <c r="AX140" s="13">
        <v>0</v>
      </c>
      <c r="AY140" s="14"/>
      <c r="AZ140" s="14"/>
      <c r="BA140" s="14"/>
      <c r="BB140" s="14"/>
      <c r="BC140" s="14"/>
      <c r="BD140" s="14"/>
      <c r="BE140" s="14"/>
      <c r="BF140" s="14"/>
      <c r="BG140" s="403">
        <v>42445</v>
      </c>
      <c r="BH140" s="14">
        <v>12</v>
      </c>
      <c r="BI140" s="14">
        <v>0</v>
      </c>
      <c r="BJ140" s="14">
        <v>0</v>
      </c>
      <c r="BK140" s="5">
        <f>Tableau1[[#This Row],[Base de financement]]-Tableau1[[#This Row],[Subvention ANRU]]-Tableau1[[#This Row],[Ville]]-Tableau1[[#This Row],[Plaine Commune]]-Tableau1[[#This Row],[Bailleurs]]-Tableau1[[#This Row],[CDC]]-Tableau1[[#This Row],[CD93]]-Tableau1[[#This Row],[CRIF]]-Tableau1[[#This Row],[Europe]]-Tableau1[[#This Row],[Autres]]</f>
        <v>0</v>
      </c>
      <c r="BL140" s="412">
        <f>S140-T140-V140-W140-Y140-Z140-AA140-AB140-AC140-AD140-AE140-AF140-AG140-AH140-AI140-AJ140-AK140-AL140-AM140-AN140-AO140-AP140-AQ140-AR140-AS140-AT140-AU140-AV140-AW140-AY140-BE140-BF140-Tableau1[[#This Row],[Ville de Pantin ]]-Tableau1[[#This Row],[Est-Ensemble ]]-Tableau1[[#This Row],[ASGO]]</f>
        <v>0</v>
      </c>
    </row>
    <row r="141" spans="1:64" ht="20.100000000000001" hidden="1" customHeight="1" x14ac:dyDescent="0.25">
      <c r="A141" s="5" t="s">
        <v>418</v>
      </c>
      <c r="B141" s="5" t="s">
        <v>503</v>
      </c>
      <c r="C141" s="14" t="s">
        <v>1271</v>
      </c>
      <c r="D141" s="14" t="s">
        <v>1021</v>
      </c>
      <c r="E141" s="5" t="s">
        <v>428</v>
      </c>
      <c r="F141" s="5" t="s">
        <v>37</v>
      </c>
      <c r="G141" s="5" t="s">
        <v>482</v>
      </c>
      <c r="H141" s="404" t="s">
        <v>1272</v>
      </c>
      <c r="I141" s="5" t="s">
        <v>483</v>
      </c>
      <c r="J141" s="5" t="s">
        <v>113</v>
      </c>
      <c r="K141" s="5" t="s">
        <v>113</v>
      </c>
      <c r="L141" s="5" t="s">
        <v>428</v>
      </c>
      <c r="O141" s="5" t="s">
        <v>42</v>
      </c>
      <c r="P141" s="5" t="s">
        <v>484</v>
      </c>
      <c r="Q141" s="227">
        <v>25000</v>
      </c>
      <c r="R141" s="7">
        <v>30000</v>
      </c>
      <c r="S141" s="7">
        <v>25000</v>
      </c>
      <c r="T141" s="7">
        <v>12500</v>
      </c>
      <c r="U141" s="7"/>
      <c r="V141" s="7">
        <v>12500</v>
      </c>
      <c r="W141" s="7">
        <v>0</v>
      </c>
      <c r="X141" s="7">
        <v>0</v>
      </c>
      <c r="Y141" s="7"/>
      <c r="Z141" s="7"/>
      <c r="AA141" s="7"/>
      <c r="AB141" s="7"/>
      <c r="AC141" s="7"/>
      <c r="AD141" s="7"/>
      <c r="AE141" s="7"/>
      <c r="AF141" s="7"/>
      <c r="AG141" s="7"/>
      <c r="AH141" s="7"/>
      <c r="AI141" s="7"/>
      <c r="AJ141" s="7"/>
      <c r="AK141" s="7"/>
      <c r="AL141" s="7"/>
      <c r="AM141" s="7"/>
      <c r="AN141" s="7"/>
      <c r="AO141" s="7"/>
      <c r="AP141" s="7"/>
      <c r="AQ141" s="7"/>
      <c r="AR141" s="7"/>
      <c r="AS141" s="7"/>
      <c r="AT141" s="7">
        <v>0</v>
      </c>
      <c r="AU141" s="7">
        <v>0</v>
      </c>
      <c r="AV141" s="7">
        <v>0</v>
      </c>
      <c r="AW141" s="7">
        <v>0</v>
      </c>
      <c r="AX141" s="7">
        <v>0</v>
      </c>
      <c r="BG141" s="8">
        <v>42445</v>
      </c>
      <c r="BH141" s="5">
        <v>12</v>
      </c>
      <c r="BI141" s="5">
        <v>0</v>
      </c>
      <c r="BJ141" s="5">
        <v>0</v>
      </c>
      <c r="BK141" s="5">
        <f>Tableau1[[#This Row],[Base de financement]]-Tableau1[[#This Row],[Subvention ANRU]]-Tableau1[[#This Row],[Ville]]-Tableau1[[#This Row],[Plaine Commune]]-Tableau1[[#This Row],[Bailleurs]]-Tableau1[[#This Row],[CDC]]-Tableau1[[#This Row],[CD93]]-Tableau1[[#This Row],[CRIF]]-Tableau1[[#This Row],[Europe]]-Tableau1[[#This Row],[Autres]]</f>
        <v>0</v>
      </c>
      <c r="BL141" s="412">
        <f>S141-T141-V141-W141-Y141-Z141-AA141-AB141-AC141-AD141-AE141-AF141-AG141-AH141-AI141-AJ141-AK141-AL141-AM141-AN141-AO141-AP141-AQ141-AR141-AS141-AT141-AU141-AV141-AW141-AY141-BE141-BF141-Tableau1[[#This Row],[Ville de Pantin ]]-Tableau1[[#This Row],[Est-Ensemble ]]-Tableau1[[#This Row],[ASGO]]</f>
        <v>0</v>
      </c>
    </row>
    <row r="142" spans="1:64" ht="20.100000000000001" hidden="1" customHeight="1" x14ac:dyDescent="0.25">
      <c r="A142" s="5" t="s">
        <v>418</v>
      </c>
      <c r="B142" s="5" t="s">
        <v>531</v>
      </c>
      <c r="C142" s="14" t="s">
        <v>1271</v>
      </c>
      <c r="D142" s="14" t="s">
        <v>1021</v>
      </c>
      <c r="E142" s="5" t="s">
        <v>428</v>
      </c>
      <c r="F142" s="5" t="s">
        <v>533</v>
      </c>
      <c r="G142" s="5" t="s">
        <v>1277</v>
      </c>
      <c r="H142" s="404" t="s">
        <v>1272</v>
      </c>
      <c r="I142" s="14" t="s">
        <v>1272</v>
      </c>
      <c r="J142" s="5" t="s">
        <v>113</v>
      </c>
      <c r="K142" s="5" t="s">
        <v>113</v>
      </c>
      <c r="L142" s="5" t="s">
        <v>428</v>
      </c>
      <c r="O142" s="5" t="s">
        <v>42</v>
      </c>
      <c r="P142" s="5" t="s">
        <v>534</v>
      </c>
      <c r="Q142" s="227">
        <v>25000</v>
      </c>
      <c r="R142" s="7">
        <v>30000</v>
      </c>
      <c r="S142" s="7">
        <v>25000</v>
      </c>
      <c r="T142" s="7">
        <v>12500</v>
      </c>
      <c r="U142" s="7"/>
      <c r="V142" s="7">
        <v>12500</v>
      </c>
      <c r="W142" s="7">
        <v>0</v>
      </c>
      <c r="X142" s="7">
        <v>0</v>
      </c>
      <c r="Y142" s="7"/>
      <c r="Z142" s="7"/>
      <c r="AA142" s="7"/>
      <c r="AB142" s="7"/>
      <c r="AC142" s="7"/>
      <c r="AD142" s="7"/>
      <c r="AE142" s="7"/>
      <c r="AF142" s="7"/>
      <c r="AG142" s="7"/>
      <c r="AH142" s="7"/>
      <c r="AI142" s="7"/>
      <c r="AJ142" s="7"/>
      <c r="AK142" s="7"/>
      <c r="AL142" s="7"/>
      <c r="AM142" s="7"/>
      <c r="AN142" s="7"/>
      <c r="AO142" s="7"/>
      <c r="AP142" s="7"/>
      <c r="AQ142" s="7"/>
      <c r="AR142" s="7"/>
      <c r="AS142" s="7"/>
      <c r="AT142" s="7">
        <v>0</v>
      </c>
      <c r="AU142" s="7">
        <v>0</v>
      </c>
      <c r="AV142" s="7">
        <v>0</v>
      </c>
      <c r="AW142" s="7">
        <v>0</v>
      </c>
      <c r="AX142" s="7">
        <v>0</v>
      </c>
      <c r="BG142" s="8">
        <v>42445</v>
      </c>
      <c r="BH142" s="5">
        <v>12</v>
      </c>
      <c r="BI142" s="5">
        <v>0</v>
      </c>
      <c r="BJ142" s="5">
        <v>0</v>
      </c>
      <c r="BK142" s="5">
        <f>Tableau1[[#This Row],[Base de financement]]-Tableau1[[#This Row],[Subvention ANRU]]-Tableau1[[#This Row],[Ville]]-Tableau1[[#This Row],[Plaine Commune]]-Tableau1[[#This Row],[Bailleurs]]-Tableau1[[#This Row],[CDC]]-Tableau1[[#This Row],[CD93]]-Tableau1[[#This Row],[CRIF]]-Tableau1[[#This Row],[Europe]]-Tableau1[[#This Row],[Autres]]</f>
        <v>0</v>
      </c>
      <c r="BL142" s="412">
        <f>S142-T142-V142-W142-Y142-Z142-AA142-AB142-AC142-AD142-AE142-AF142-AG142-AH142-AI142-AJ142-AK142-AL142-AM142-AN142-AO142-AP142-AQ142-AR142-AS142-AT142-AU142-AV142-AW142-AY142-BE142-BF142-Tableau1[[#This Row],[Ville de Pantin ]]-Tableau1[[#This Row],[Est-Ensemble ]]-Tableau1[[#This Row],[ASGO]]</f>
        <v>0</v>
      </c>
    </row>
    <row r="143" spans="1:64" ht="20.100000000000001" hidden="1" customHeight="1" x14ac:dyDescent="0.25">
      <c r="A143" s="5" t="s">
        <v>418</v>
      </c>
      <c r="B143" s="5" t="s">
        <v>485</v>
      </c>
      <c r="C143" s="14" t="s">
        <v>1273</v>
      </c>
      <c r="D143" s="14" t="s">
        <v>1021</v>
      </c>
      <c r="E143" s="5" t="s">
        <v>428</v>
      </c>
      <c r="F143" s="5" t="s">
        <v>420</v>
      </c>
      <c r="G143" s="5" t="s">
        <v>486</v>
      </c>
      <c r="H143" s="404" t="s">
        <v>1374</v>
      </c>
      <c r="I143" s="14" t="s">
        <v>1374</v>
      </c>
      <c r="J143" s="5" t="s">
        <v>113</v>
      </c>
      <c r="K143" s="5" t="s">
        <v>113</v>
      </c>
      <c r="L143" s="5" t="s">
        <v>428</v>
      </c>
      <c r="O143" s="5" t="s">
        <v>42</v>
      </c>
      <c r="P143" s="5" t="s">
        <v>487</v>
      </c>
      <c r="Q143" s="227">
        <v>20000</v>
      </c>
      <c r="R143" s="7">
        <v>24000</v>
      </c>
      <c r="S143" s="7">
        <v>20000</v>
      </c>
      <c r="T143" s="7">
        <v>10000</v>
      </c>
      <c r="U143" s="7"/>
      <c r="V143" s="7">
        <v>10000</v>
      </c>
      <c r="W143" s="7">
        <v>0</v>
      </c>
      <c r="X143" s="7">
        <v>0</v>
      </c>
      <c r="Y143" s="7"/>
      <c r="Z143" s="7"/>
      <c r="AA143" s="7"/>
      <c r="AB143" s="7"/>
      <c r="AC143" s="7"/>
      <c r="AD143" s="7"/>
      <c r="AE143" s="7"/>
      <c r="AF143" s="7"/>
      <c r="AG143" s="7"/>
      <c r="AH143" s="7"/>
      <c r="AI143" s="7"/>
      <c r="AJ143" s="7"/>
      <c r="AK143" s="7"/>
      <c r="AL143" s="7"/>
      <c r="AM143" s="7"/>
      <c r="AN143" s="7"/>
      <c r="AO143" s="7"/>
      <c r="AP143" s="7"/>
      <c r="AQ143" s="7"/>
      <c r="AR143" s="7"/>
      <c r="AS143" s="7"/>
      <c r="AT143" s="7">
        <v>0</v>
      </c>
      <c r="AU143" s="7">
        <v>0</v>
      </c>
      <c r="AV143" s="7">
        <v>0</v>
      </c>
      <c r="AW143" s="7">
        <v>0</v>
      </c>
      <c r="AX143" s="7">
        <v>0</v>
      </c>
      <c r="BG143" s="8">
        <v>42445</v>
      </c>
      <c r="BH143" s="5">
        <v>12</v>
      </c>
      <c r="BI143" s="5">
        <v>0</v>
      </c>
      <c r="BJ143" s="5">
        <v>0</v>
      </c>
      <c r="BK143" s="5">
        <f>Tableau1[[#This Row],[Base de financement]]-Tableau1[[#This Row],[Subvention ANRU]]-Tableau1[[#This Row],[Ville]]-Tableau1[[#This Row],[Plaine Commune]]-Tableau1[[#This Row],[Bailleurs]]-Tableau1[[#This Row],[CDC]]-Tableau1[[#This Row],[CD93]]-Tableau1[[#This Row],[CRIF]]-Tableau1[[#This Row],[Europe]]-Tableau1[[#This Row],[Autres]]</f>
        <v>0</v>
      </c>
      <c r="BL143" s="412">
        <f>S143-T143-V143-W143-Y143-Z143-AA143-AB143-AC143-AD143-AE143-AF143-AG143-AH143-AI143-AJ143-AK143-AL143-AM143-AN143-AO143-AP143-AQ143-AR143-AS143-AT143-AU143-AV143-AW143-AY143-BE143-BF143-Tableau1[[#This Row],[Ville de Pantin ]]-Tableau1[[#This Row],[Est-Ensemble ]]-Tableau1[[#This Row],[ASGO]]</f>
        <v>0</v>
      </c>
    </row>
    <row r="144" spans="1:64" ht="20.100000000000001" hidden="1" customHeight="1" x14ac:dyDescent="0.25">
      <c r="A144" s="5" t="s">
        <v>418</v>
      </c>
      <c r="B144" s="5" t="s">
        <v>519</v>
      </c>
      <c r="C144" s="14" t="s">
        <v>1273</v>
      </c>
      <c r="D144" s="14" t="s">
        <v>1021</v>
      </c>
      <c r="E144" s="5" t="s">
        <v>428</v>
      </c>
      <c r="F144" s="5" t="s">
        <v>37</v>
      </c>
      <c r="G144" s="5" t="s">
        <v>486</v>
      </c>
      <c r="H144" s="404" t="s">
        <v>1374</v>
      </c>
      <c r="I144" s="14" t="s">
        <v>1374</v>
      </c>
      <c r="J144" s="5" t="s">
        <v>113</v>
      </c>
      <c r="K144" s="5" t="s">
        <v>113</v>
      </c>
      <c r="L144" s="5" t="s">
        <v>428</v>
      </c>
      <c r="O144" s="5" t="s">
        <v>42</v>
      </c>
      <c r="P144" s="5" t="s">
        <v>520</v>
      </c>
      <c r="Q144" s="227">
        <v>20000</v>
      </c>
      <c r="R144" s="7">
        <v>24000</v>
      </c>
      <c r="S144" s="7">
        <v>20000</v>
      </c>
      <c r="T144" s="7">
        <v>10000</v>
      </c>
      <c r="U144" s="7"/>
      <c r="V144" s="7">
        <v>10000</v>
      </c>
      <c r="W144" s="7">
        <v>0</v>
      </c>
      <c r="X144" s="7">
        <v>0</v>
      </c>
      <c r="Y144" s="7"/>
      <c r="Z144" s="7"/>
      <c r="AA144" s="7"/>
      <c r="AB144" s="7"/>
      <c r="AC144" s="7"/>
      <c r="AD144" s="7"/>
      <c r="AE144" s="7"/>
      <c r="AF144" s="7"/>
      <c r="AG144" s="7"/>
      <c r="AH144" s="7"/>
      <c r="AI144" s="7"/>
      <c r="AJ144" s="7"/>
      <c r="AK144" s="7"/>
      <c r="AL144" s="7"/>
      <c r="AM144" s="7"/>
      <c r="AN144" s="7"/>
      <c r="AO144" s="7"/>
      <c r="AP144" s="7"/>
      <c r="AQ144" s="7"/>
      <c r="AR144" s="7"/>
      <c r="AS144" s="7"/>
      <c r="AT144" s="7">
        <v>0</v>
      </c>
      <c r="AU144" s="7">
        <v>0</v>
      </c>
      <c r="AV144" s="7">
        <v>0</v>
      </c>
      <c r="AW144" s="7">
        <v>0</v>
      </c>
      <c r="AX144" s="7">
        <v>0</v>
      </c>
      <c r="BG144" s="8">
        <v>42445</v>
      </c>
      <c r="BH144" s="5">
        <v>12</v>
      </c>
      <c r="BI144" s="5">
        <v>0</v>
      </c>
      <c r="BJ144" s="5">
        <v>0</v>
      </c>
      <c r="BK144" s="5">
        <f>Tableau1[[#This Row],[Base de financement]]-Tableau1[[#This Row],[Subvention ANRU]]-Tableau1[[#This Row],[Ville]]-Tableau1[[#This Row],[Plaine Commune]]-Tableau1[[#This Row],[Bailleurs]]-Tableau1[[#This Row],[CDC]]-Tableau1[[#This Row],[CD93]]-Tableau1[[#This Row],[CRIF]]-Tableau1[[#This Row],[Europe]]-Tableau1[[#This Row],[Autres]]</f>
        <v>0</v>
      </c>
      <c r="BL144" s="412">
        <f>S144-T144-V144-W144-Y144-Z144-AA144-AB144-AC144-AD144-AE144-AF144-AG144-AH144-AI144-AJ144-AK144-AL144-AM144-AN144-AO144-AP144-AQ144-AR144-AS144-AT144-AU144-AV144-AW144-AY144-BE144-BF144-Tableau1[[#This Row],[Ville de Pantin ]]-Tableau1[[#This Row],[Est-Ensemble ]]-Tableau1[[#This Row],[ASGO]]</f>
        <v>0</v>
      </c>
    </row>
    <row r="145" spans="1:64" ht="20.100000000000001" hidden="1" customHeight="1" x14ac:dyDescent="0.25">
      <c r="A145" s="5" t="s">
        <v>418</v>
      </c>
      <c r="B145" s="5" t="s">
        <v>549</v>
      </c>
      <c r="C145" s="14" t="s">
        <v>1273</v>
      </c>
      <c r="D145" s="14" t="s">
        <v>1021</v>
      </c>
      <c r="E145" s="5" t="s">
        <v>428</v>
      </c>
      <c r="F145" s="5" t="s">
        <v>533</v>
      </c>
      <c r="G145" s="5" t="s">
        <v>486</v>
      </c>
      <c r="H145" s="404" t="s">
        <v>1374</v>
      </c>
      <c r="I145" s="14" t="s">
        <v>1374</v>
      </c>
      <c r="J145" s="5" t="s">
        <v>113</v>
      </c>
      <c r="K145" s="5" t="s">
        <v>113</v>
      </c>
      <c r="L145" s="5" t="s">
        <v>428</v>
      </c>
      <c r="O145" s="5" t="s">
        <v>42</v>
      </c>
      <c r="P145" s="5" t="s">
        <v>520</v>
      </c>
      <c r="Q145" s="227">
        <v>20000</v>
      </c>
      <c r="R145" s="7">
        <v>24000</v>
      </c>
      <c r="S145" s="7">
        <v>20000</v>
      </c>
      <c r="T145" s="7">
        <v>10000</v>
      </c>
      <c r="U145" s="7"/>
      <c r="V145" s="7">
        <v>10000</v>
      </c>
      <c r="W145" s="7">
        <v>0</v>
      </c>
      <c r="X145" s="7">
        <v>0</v>
      </c>
      <c r="Y145" s="7"/>
      <c r="Z145" s="7"/>
      <c r="AA145" s="7"/>
      <c r="AB145" s="7"/>
      <c r="AC145" s="7"/>
      <c r="AD145" s="7"/>
      <c r="AE145" s="7"/>
      <c r="AF145" s="7"/>
      <c r="AG145" s="7"/>
      <c r="AH145" s="7"/>
      <c r="AI145" s="7"/>
      <c r="AJ145" s="7"/>
      <c r="AK145" s="7"/>
      <c r="AL145" s="7"/>
      <c r="AM145" s="7"/>
      <c r="AN145" s="7"/>
      <c r="AO145" s="7"/>
      <c r="AP145" s="7"/>
      <c r="AQ145" s="7"/>
      <c r="AR145" s="7"/>
      <c r="AS145" s="7"/>
      <c r="AT145" s="7">
        <v>0</v>
      </c>
      <c r="AU145" s="7">
        <v>0</v>
      </c>
      <c r="AV145" s="7">
        <v>0</v>
      </c>
      <c r="AW145" s="7">
        <v>0</v>
      </c>
      <c r="AX145" s="7">
        <v>0</v>
      </c>
      <c r="BG145" s="8">
        <v>42445</v>
      </c>
      <c r="BH145" s="5">
        <v>12</v>
      </c>
      <c r="BI145" s="5">
        <v>0</v>
      </c>
      <c r="BJ145" s="5">
        <v>0</v>
      </c>
      <c r="BK145" s="5">
        <f>Tableau1[[#This Row],[Base de financement]]-Tableau1[[#This Row],[Subvention ANRU]]-Tableau1[[#This Row],[Ville]]-Tableau1[[#This Row],[Plaine Commune]]-Tableau1[[#This Row],[Bailleurs]]-Tableau1[[#This Row],[CDC]]-Tableau1[[#This Row],[CD93]]-Tableau1[[#This Row],[CRIF]]-Tableau1[[#This Row],[Europe]]-Tableau1[[#This Row],[Autres]]</f>
        <v>0</v>
      </c>
      <c r="BL145" s="412">
        <f>S145-T145-V145-W145-Y145-Z145-AA145-AB145-AC145-AD145-AE145-AF145-AG145-AH145-AI145-AJ145-AK145-AL145-AM145-AN145-AO145-AP145-AQ145-AR145-AS145-AT145-AU145-AV145-AW145-AY145-BE145-BF145-Tableau1[[#This Row],[Ville de Pantin ]]-Tableau1[[#This Row],[Est-Ensemble ]]-Tableau1[[#This Row],[ASGO]]</f>
        <v>0</v>
      </c>
    </row>
    <row r="146" spans="1:64" ht="20.100000000000001" hidden="1" customHeight="1" x14ac:dyDescent="0.25">
      <c r="A146" s="5" t="s">
        <v>418</v>
      </c>
      <c r="B146" s="5" t="s">
        <v>744</v>
      </c>
      <c r="C146" s="14" t="s">
        <v>1276</v>
      </c>
      <c r="D146" s="14" t="s">
        <v>1021</v>
      </c>
      <c r="E146" s="5" t="s">
        <v>456</v>
      </c>
      <c r="G146" s="14" t="s">
        <v>1278</v>
      </c>
      <c r="H146" s="404" t="s">
        <v>745</v>
      </c>
      <c r="I146" s="5" t="s">
        <v>730</v>
      </c>
      <c r="J146" s="5" t="s">
        <v>68</v>
      </c>
      <c r="K146" s="5" t="s">
        <v>69</v>
      </c>
      <c r="L146" s="5" t="s">
        <v>456</v>
      </c>
      <c r="O146" s="5" t="s">
        <v>42</v>
      </c>
      <c r="P146" s="5" t="s">
        <v>731</v>
      </c>
      <c r="Q146" s="227">
        <v>55000</v>
      </c>
      <c r="R146" s="7">
        <v>66000</v>
      </c>
      <c r="S146" s="7">
        <v>55000</v>
      </c>
      <c r="T146" s="7">
        <v>27500</v>
      </c>
      <c r="U146" s="7"/>
      <c r="V146" s="7">
        <v>0</v>
      </c>
      <c r="W146" s="7">
        <v>0</v>
      </c>
      <c r="X146" s="7">
        <v>27500</v>
      </c>
      <c r="Y146" s="7"/>
      <c r="Z146" s="7"/>
      <c r="AA146" s="7"/>
      <c r="AB146" s="7"/>
      <c r="AC146" s="7"/>
      <c r="AD146" s="7"/>
      <c r="AE146" s="7"/>
      <c r="AF146" s="7"/>
      <c r="AG146" s="7"/>
      <c r="AH146" s="7">
        <v>27500</v>
      </c>
      <c r="AI146" s="7"/>
      <c r="AJ146" s="7"/>
      <c r="AK146" s="7"/>
      <c r="AL146" s="7"/>
      <c r="AM146" s="7"/>
      <c r="AN146" s="7"/>
      <c r="AO146" s="7"/>
      <c r="AP146" s="7"/>
      <c r="AQ146" s="7"/>
      <c r="AR146" s="7"/>
      <c r="AS146" s="7"/>
      <c r="AT146" s="7">
        <v>0</v>
      </c>
      <c r="AU146" s="7">
        <v>0</v>
      </c>
      <c r="AV146" s="7">
        <v>0</v>
      </c>
      <c r="AW146" s="7">
        <v>0</v>
      </c>
      <c r="AX146" s="7">
        <v>0</v>
      </c>
      <c r="BG146" s="8">
        <v>42445</v>
      </c>
      <c r="BH146" s="5">
        <v>6</v>
      </c>
      <c r="BI146" s="5">
        <v>395</v>
      </c>
      <c r="BJ146" s="5">
        <v>0</v>
      </c>
      <c r="BK146" s="5">
        <f>Tableau1[[#This Row],[Base de financement]]-Tableau1[[#This Row],[Subvention ANRU]]-Tableau1[[#This Row],[Ville]]-Tableau1[[#This Row],[Plaine Commune]]-Tableau1[[#This Row],[Bailleurs]]-Tableau1[[#This Row],[CDC]]-Tableau1[[#This Row],[CD93]]-Tableau1[[#This Row],[CRIF]]-Tableau1[[#This Row],[Europe]]-Tableau1[[#This Row],[Autres]]</f>
        <v>0</v>
      </c>
      <c r="BL146" s="412">
        <f>S146-T146-V146-W146-Y146-Z146-AA146-AB146-AC146-AD146-AE146-AF146-AG146-AH146-AI146-AJ146-AK146-AL146-AM146-AN146-AO146-AP146-AQ146-AR146-AS146-AT146-AU146-AV146-AW146-AY146-BE146-BF146-Tableau1[[#This Row],[Ville de Pantin ]]-Tableau1[[#This Row],[Est-Ensemble ]]-Tableau1[[#This Row],[ASGO]]</f>
        <v>0</v>
      </c>
    </row>
    <row r="147" spans="1:64" ht="20.100000000000001" hidden="1" customHeight="1" x14ac:dyDescent="0.25">
      <c r="A147" s="5" t="s">
        <v>418</v>
      </c>
      <c r="B147" s="5" t="s">
        <v>746</v>
      </c>
      <c r="C147" s="14" t="s">
        <v>1276</v>
      </c>
      <c r="D147" s="14" t="s">
        <v>1021</v>
      </c>
      <c r="E147" s="5" t="s">
        <v>456</v>
      </c>
      <c r="G147" s="14" t="s">
        <v>1278</v>
      </c>
      <c r="H147" s="404" t="s">
        <v>747</v>
      </c>
      <c r="I147" s="5" t="s">
        <v>458</v>
      </c>
      <c r="J147" s="5" t="s">
        <v>68</v>
      </c>
      <c r="K147" s="5" t="s">
        <v>69</v>
      </c>
      <c r="L147" s="5" t="s">
        <v>456</v>
      </c>
      <c r="O147" s="5" t="s">
        <v>42</v>
      </c>
      <c r="P147" s="5" t="s">
        <v>459</v>
      </c>
      <c r="Q147" s="227">
        <v>58028</v>
      </c>
      <c r="R147" s="7">
        <v>69634</v>
      </c>
      <c r="S147" s="7">
        <v>58028</v>
      </c>
      <c r="T147" s="7">
        <v>29014</v>
      </c>
      <c r="U147" s="7"/>
      <c r="V147" s="7">
        <v>0</v>
      </c>
      <c r="W147" s="7">
        <v>0</v>
      </c>
      <c r="X147" s="7">
        <v>29014</v>
      </c>
      <c r="Y147" s="7"/>
      <c r="Z147" s="7"/>
      <c r="AA147" s="7"/>
      <c r="AB147" s="7"/>
      <c r="AC147" s="7"/>
      <c r="AD147" s="7"/>
      <c r="AE147" s="7"/>
      <c r="AF147" s="7"/>
      <c r="AG147" s="7"/>
      <c r="AH147" s="7">
        <v>29014</v>
      </c>
      <c r="AI147" s="7"/>
      <c r="AJ147" s="7"/>
      <c r="AK147" s="7"/>
      <c r="AL147" s="7"/>
      <c r="AM147" s="7"/>
      <c r="AN147" s="7"/>
      <c r="AO147" s="7"/>
      <c r="AP147" s="7"/>
      <c r="AQ147" s="7"/>
      <c r="AR147" s="7"/>
      <c r="AS147" s="7"/>
      <c r="AT147" s="7">
        <v>0</v>
      </c>
      <c r="AU147" s="7">
        <v>0</v>
      </c>
      <c r="AV147" s="7">
        <v>0</v>
      </c>
      <c r="AW147" s="7">
        <v>0</v>
      </c>
      <c r="AX147" s="7">
        <v>0</v>
      </c>
      <c r="BG147" s="8">
        <v>42309</v>
      </c>
      <c r="BH147" s="5">
        <v>6</v>
      </c>
      <c r="BI147" s="5">
        <v>652</v>
      </c>
      <c r="BJ147" s="5">
        <v>0</v>
      </c>
      <c r="BK147" s="5">
        <f>Tableau1[[#This Row],[Base de financement]]-Tableau1[[#This Row],[Subvention ANRU]]-Tableau1[[#This Row],[Ville]]-Tableau1[[#This Row],[Plaine Commune]]-Tableau1[[#This Row],[Bailleurs]]-Tableau1[[#This Row],[CDC]]-Tableau1[[#This Row],[CD93]]-Tableau1[[#This Row],[CRIF]]-Tableau1[[#This Row],[Europe]]-Tableau1[[#This Row],[Autres]]</f>
        <v>0</v>
      </c>
      <c r="BL147" s="412">
        <f>S147-T147-V147-W147-Y147-Z147-AA147-AB147-AC147-AD147-AE147-AF147-AG147-AH147-AI147-AJ147-AK147-AL147-AM147-AN147-AO147-AP147-AQ147-AR147-AS147-AT147-AU147-AV147-AW147-AY147-BE147-BF147-Tableau1[[#This Row],[Ville de Pantin ]]-Tableau1[[#This Row],[Est-Ensemble ]]-Tableau1[[#This Row],[ASGO]]</f>
        <v>0</v>
      </c>
    </row>
    <row r="148" spans="1:64" ht="20.100000000000001" hidden="1" customHeight="1" x14ac:dyDescent="0.25">
      <c r="A148" s="264" t="s">
        <v>418</v>
      </c>
      <c r="B148" s="264" t="s">
        <v>740</v>
      </c>
      <c r="C148" s="14" t="s">
        <v>1276</v>
      </c>
      <c r="D148" s="346" t="s">
        <v>1021</v>
      </c>
      <c r="E148" s="5" t="s">
        <v>456</v>
      </c>
      <c r="G148" s="14" t="s">
        <v>1278</v>
      </c>
      <c r="H148" s="460" t="s">
        <v>741</v>
      </c>
      <c r="I148" s="264" t="s">
        <v>458</v>
      </c>
      <c r="J148" s="264" t="s">
        <v>68</v>
      </c>
      <c r="K148" s="264" t="s">
        <v>69</v>
      </c>
      <c r="L148" s="5" t="s">
        <v>456</v>
      </c>
      <c r="O148" s="5" t="s">
        <v>42</v>
      </c>
      <c r="P148" s="5" t="s">
        <v>459</v>
      </c>
      <c r="Q148" s="405">
        <v>96549</v>
      </c>
      <c r="R148" s="265">
        <v>115859</v>
      </c>
      <c r="S148" s="265">
        <v>96549</v>
      </c>
      <c r="T148" s="265">
        <v>48275</v>
      </c>
      <c r="U148" s="265"/>
      <c r="V148" s="265">
        <v>0</v>
      </c>
      <c r="W148" s="265">
        <v>0</v>
      </c>
      <c r="X148" s="265">
        <v>48275</v>
      </c>
      <c r="Y148" s="265"/>
      <c r="Z148" s="265"/>
      <c r="AA148" s="265"/>
      <c r="AB148" s="265"/>
      <c r="AC148" s="265"/>
      <c r="AD148" s="265"/>
      <c r="AE148" s="7"/>
      <c r="AF148" s="7"/>
      <c r="AG148" s="7"/>
      <c r="AH148" s="7">
        <v>48275</v>
      </c>
      <c r="AI148" s="7"/>
      <c r="AJ148" s="7"/>
      <c r="AK148" s="7"/>
      <c r="AL148" s="7"/>
      <c r="AM148" s="7"/>
      <c r="AN148" s="7"/>
      <c r="AO148" s="7"/>
      <c r="AP148" s="7"/>
      <c r="AQ148" s="7"/>
      <c r="AR148" s="7"/>
      <c r="AS148" s="7"/>
      <c r="AT148" s="7">
        <v>0</v>
      </c>
      <c r="AU148" s="7">
        <v>0</v>
      </c>
      <c r="AV148" s="7">
        <v>0</v>
      </c>
      <c r="AW148" s="7">
        <v>0</v>
      </c>
      <c r="AX148" s="7">
        <v>0</v>
      </c>
      <c r="BG148" s="407">
        <v>42445</v>
      </c>
      <c r="BH148" s="5">
        <v>6</v>
      </c>
      <c r="BI148" s="5">
        <v>973</v>
      </c>
      <c r="BJ148" s="5">
        <v>0</v>
      </c>
      <c r="BK148" s="5">
        <f>Tableau1[[#This Row],[Base de financement]]-Tableau1[[#This Row],[Subvention ANRU]]-Tableau1[[#This Row],[Ville]]-Tableau1[[#This Row],[Plaine Commune]]-Tableau1[[#This Row],[Bailleurs]]-Tableau1[[#This Row],[CDC]]-Tableau1[[#This Row],[CD93]]-Tableau1[[#This Row],[CRIF]]-Tableau1[[#This Row],[Europe]]-Tableau1[[#This Row],[Autres]]</f>
        <v>-1</v>
      </c>
      <c r="BL148" s="412">
        <f>S148-T148-V148-W148-Y148-Z148-AA148-AB148-AC148-AD148-AE148-AF148-AG148-AH148-AI148-AJ148-AK148-AL148-AM148-AN148-AO148-AP148-AQ148-AR148-AS148-AT148-AU148-AV148-AW148-AY148-BE148-BF148-Tableau1[[#This Row],[Ville de Pantin ]]-Tableau1[[#This Row],[Est-Ensemble ]]-Tableau1[[#This Row],[ASGO]]</f>
        <v>-1</v>
      </c>
    </row>
    <row r="149" spans="1:64" ht="20.100000000000001" hidden="1" customHeight="1" x14ac:dyDescent="0.25">
      <c r="A149" s="5" t="s">
        <v>418</v>
      </c>
      <c r="B149" s="5" t="s">
        <v>728</v>
      </c>
      <c r="C149" s="14" t="s">
        <v>1276</v>
      </c>
      <c r="D149" s="14" t="s">
        <v>1021</v>
      </c>
      <c r="E149" s="5" t="s">
        <v>456</v>
      </c>
      <c r="G149" s="14" t="s">
        <v>1278</v>
      </c>
      <c r="H149" s="404" t="s">
        <v>729</v>
      </c>
      <c r="I149" s="5" t="s">
        <v>730</v>
      </c>
      <c r="J149" s="5" t="s">
        <v>68</v>
      </c>
      <c r="K149" s="5" t="s">
        <v>69</v>
      </c>
      <c r="L149" s="5" t="s">
        <v>456</v>
      </c>
      <c r="O149" s="5" t="s">
        <v>42</v>
      </c>
      <c r="P149" s="5" t="s">
        <v>731</v>
      </c>
      <c r="Q149" s="227">
        <v>20000</v>
      </c>
      <c r="R149" s="7">
        <v>24000</v>
      </c>
      <c r="S149" s="7">
        <v>20000</v>
      </c>
      <c r="T149" s="7">
        <v>10000</v>
      </c>
      <c r="U149" s="7"/>
      <c r="V149" s="7">
        <v>0</v>
      </c>
      <c r="W149" s="7">
        <v>0</v>
      </c>
      <c r="X149" s="7">
        <v>10000</v>
      </c>
      <c r="Y149" s="7"/>
      <c r="Z149" s="7"/>
      <c r="AA149" s="7"/>
      <c r="AB149" s="7"/>
      <c r="AC149" s="7"/>
      <c r="AD149" s="7"/>
      <c r="AE149" s="7"/>
      <c r="AF149" s="7"/>
      <c r="AG149" s="7"/>
      <c r="AH149" s="7">
        <v>10000</v>
      </c>
      <c r="AI149" s="7"/>
      <c r="AJ149" s="7"/>
      <c r="AK149" s="7"/>
      <c r="AL149" s="7"/>
      <c r="AM149" s="7"/>
      <c r="AN149" s="7"/>
      <c r="AO149" s="7"/>
      <c r="AP149" s="7"/>
      <c r="AQ149" s="7"/>
      <c r="AR149" s="7"/>
      <c r="AS149" s="7"/>
      <c r="AT149" s="7">
        <v>0</v>
      </c>
      <c r="AU149" s="7">
        <v>0</v>
      </c>
      <c r="AV149" s="7">
        <v>0</v>
      </c>
      <c r="AW149" s="7">
        <v>0</v>
      </c>
      <c r="AX149" s="7">
        <v>0</v>
      </c>
      <c r="BG149" s="8">
        <v>42445</v>
      </c>
      <c r="BH149" s="5">
        <v>3</v>
      </c>
      <c r="BI149" s="5">
        <v>649</v>
      </c>
      <c r="BJ149" s="5">
        <v>0</v>
      </c>
      <c r="BK149" s="5">
        <f>Tableau1[[#This Row],[Base de financement]]-Tableau1[[#This Row],[Subvention ANRU]]-Tableau1[[#This Row],[Ville]]-Tableau1[[#This Row],[Plaine Commune]]-Tableau1[[#This Row],[Bailleurs]]-Tableau1[[#This Row],[CDC]]-Tableau1[[#This Row],[CD93]]-Tableau1[[#This Row],[CRIF]]-Tableau1[[#This Row],[Europe]]-Tableau1[[#This Row],[Autres]]</f>
        <v>0</v>
      </c>
      <c r="BL149" s="412">
        <f>S149-T149-V149-W149-Y149-Z149-AA149-AB149-AC149-AD149-AE149-AF149-AG149-AH149-AI149-AJ149-AK149-AL149-AM149-AN149-AO149-AP149-AQ149-AR149-AS149-AT149-AU149-AV149-AW149-AY149-BE149-BF149-Tableau1[[#This Row],[Ville de Pantin ]]-Tableau1[[#This Row],[Est-Ensemble ]]-Tableau1[[#This Row],[ASGO]]</f>
        <v>0</v>
      </c>
    </row>
    <row r="150" spans="1:64" ht="20.100000000000001" hidden="1" customHeight="1" x14ac:dyDescent="0.25">
      <c r="A150" s="5" t="s">
        <v>418</v>
      </c>
      <c r="B150" s="5" t="s">
        <v>734</v>
      </c>
      <c r="C150" s="14" t="s">
        <v>1276</v>
      </c>
      <c r="D150" s="14" t="s">
        <v>1021</v>
      </c>
      <c r="E150" s="5" t="s">
        <v>456</v>
      </c>
      <c r="G150" s="14" t="s">
        <v>1278</v>
      </c>
      <c r="H150" s="404" t="s">
        <v>735</v>
      </c>
      <c r="I150" s="5" t="s">
        <v>458</v>
      </c>
      <c r="J150" s="5" t="s">
        <v>68</v>
      </c>
      <c r="K150" s="5" t="s">
        <v>69</v>
      </c>
      <c r="L150" s="5" t="s">
        <v>456</v>
      </c>
      <c r="O150" s="5" t="s">
        <v>42</v>
      </c>
      <c r="P150" s="5" t="s">
        <v>459</v>
      </c>
      <c r="Q150" s="227">
        <v>10285</v>
      </c>
      <c r="R150" s="7">
        <v>12342</v>
      </c>
      <c r="S150" s="7">
        <v>10285</v>
      </c>
      <c r="T150" s="7">
        <v>5143</v>
      </c>
      <c r="U150" s="7"/>
      <c r="V150" s="7">
        <v>0</v>
      </c>
      <c r="W150" s="7">
        <v>0</v>
      </c>
      <c r="X150" s="7">
        <v>5143</v>
      </c>
      <c r="Y150" s="7"/>
      <c r="Z150" s="7"/>
      <c r="AA150" s="7"/>
      <c r="AB150" s="7"/>
      <c r="AC150" s="7"/>
      <c r="AD150" s="7"/>
      <c r="AE150" s="7"/>
      <c r="AF150" s="7"/>
      <c r="AG150" s="7"/>
      <c r="AH150" s="7">
        <v>5143</v>
      </c>
      <c r="AI150" s="7"/>
      <c r="AJ150" s="7"/>
      <c r="AK150" s="7"/>
      <c r="AL150" s="7"/>
      <c r="AM150" s="7"/>
      <c r="AN150" s="7"/>
      <c r="AO150" s="7"/>
      <c r="AP150" s="7"/>
      <c r="AQ150" s="7"/>
      <c r="AR150" s="7"/>
      <c r="AS150" s="7"/>
      <c r="AT150" s="7">
        <v>0</v>
      </c>
      <c r="AU150" s="7">
        <v>0</v>
      </c>
      <c r="AV150" s="7">
        <v>0</v>
      </c>
      <c r="AW150" s="7">
        <v>0</v>
      </c>
      <c r="AX150" s="7">
        <v>0</v>
      </c>
      <c r="BG150" s="8">
        <v>42445</v>
      </c>
      <c r="BH150" s="5">
        <v>3</v>
      </c>
      <c r="BI150" s="5">
        <v>85</v>
      </c>
      <c r="BJ150" s="5">
        <v>0</v>
      </c>
      <c r="BK150" s="5">
        <f>Tableau1[[#This Row],[Base de financement]]-Tableau1[[#This Row],[Subvention ANRU]]-Tableau1[[#This Row],[Ville]]-Tableau1[[#This Row],[Plaine Commune]]-Tableau1[[#This Row],[Bailleurs]]-Tableau1[[#This Row],[CDC]]-Tableau1[[#This Row],[CD93]]-Tableau1[[#This Row],[CRIF]]-Tableau1[[#This Row],[Europe]]-Tableau1[[#This Row],[Autres]]</f>
        <v>-1</v>
      </c>
      <c r="BL150" s="412">
        <f>S150-T150-V150-W150-Y150-Z150-AA150-AB150-AC150-AD150-AE150-AF150-AG150-AH150-AI150-AJ150-AK150-AL150-AM150-AN150-AO150-AP150-AQ150-AR150-AS150-AT150-AU150-AV150-AW150-AY150-BE150-BF150-Tableau1[[#This Row],[Ville de Pantin ]]-Tableau1[[#This Row],[Est-Ensemble ]]-Tableau1[[#This Row],[ASGO]]</f>
        <v>-1</v>
      </c>
    </row>
    <row r="151" spans="1:64" ht="20.100000000000001" hidden="1" customHeight="1" x14ac:dyDescent="0.25">
      <c r="A151" s="5" t="s">
        <v>418</v>
      </c>
      <c r="B151" s="5" t="s">
        <v>748</v>
      </c>
      <c r="C151" s="14" t="s">
        <v>1279</v>
      </c>
      <c r="D151" s="14" t="s">
        <v>1021</v>
      </c>
      <c r="E151" s="5" t="s">
        <v>456</v>
      </c>
      <c r="G151" s="14" t="s">
        <v>1280</v>
      </c>
      <c r="H151" s="404" t="s">
        <v>749</v>
      </c>
      <c r="I151" s="5" t="s">
        <v>720</v>
      </c>
      <c r="J151" s="5" t="s">
        <v>68</v>
      </c>
      <c r="K151" s="5" t="s">
        <v>69</v>
      </c>
      <c r="L151" s="5" t="s">
        <v>456</v>
      </c>
      <c r="O151" s="5" t="s">
        <v>42</v>
      </c>
      <c r="P151" s="5" t="s">
        <v>376</v>
      </c>
      <c r="Q151" s="227">
        <v>50000</v>
      </c>
      <c r="R151" s="7">
        <v>60000</v>
      </c>
      <c r="S151" s="7">
        <v>50000</v>
      </c>
      <c r="T151" s="7">
        <v>25000</v>
      </c>
      <c r="U151" s="7"/>
      <c r="V151" s="7">
        <v>0</v>
      </c>
      <c r="W151" s="7">
        <v>0</v>
      </c>
      <c r="X151" s="7">
        <v>25000</v>
      </c>
      <c r="Y151" s="7"/>
      <c r="Z151" s="7"/>
      <c r="AA151" s="7"/>
      <c r="AB151" s="7"/>
      <c r="AC151" s="7"/>
      <c r="AD151" s="7"/>
      <c r="AE151" s="7"/>
      <c r="AF151" s="7"/>
      <c r="AG151" s="7"/>
      <c r="AH151" s="7">
        <v>25000</v>
      </c>
      <c r="AI151" s="7"/>
      <c r="AJ151" s="7"/>
      <c r="AK151" s="7"/>
      <c r="AL151" s="7"/>
      <c r="AM151" s="7"/>
      <c r="AN151" s="7"/>
      <c r="AO151" s="7"/>
      <c r="AP151" s="7"/>
      <c r="AQ151" s="7"/>
      <c r="AR151" s="7"/>
      <c r="AS151" s="7"/>
      <c r="AT151" s="7">
        <v>0</v>
      </c>
      <c r="AU151" s="7">
        <v>0</v>
      </c>
      <c r="AV151" s="7">
        <v>0</v>
      </c>
      <c r="AW151" s="7">
        <v>0</v>
      </c>
      <c r="AX151" s="7">
        <v>0</v>
      </c>
      <c r="BG151" s="8">
        <v>42445</v>
      </c>
      <c r="BH151" s="5">
        <v>4</v>
      </c>
      <c r="BI151" s="5">
        <v>850</v>
      </c>
      <c r="BJ151" s="5">
        <v>0</v>
      </c>
      <c r="BK151" s="5">
        <f>Tableau1[[#This Row],[Base de financement]]-Tableau1[[#This Row],[Subvention ANRU]]-Tableau1[[#This Row],[Ville]]-Tableau1[[#This Row],[Plaine Commune]]-Tableau1[[#This Row],[Bailleurs]]-Tableau1[[#This Row],[CDC]]-Tableau1[[#This Row],[CD93]]-Tableau1[[#This Row],[CRIF]]-Tableau1[[#This Row],[Europe]]-Tableau1[[#This Row],[Autres]]</f>
        <v>0</v>
      </c>
      <c r="BL151" s="412">
        <f>S151-T151-V151-W151-Y151-Z151-AA151-AB151-AC151-AD151-AE151-AF151-AG151-AH151-AI151-AJ151-AK151-AL151-AM151-AN151-AO151-AP151-AQ151-AR151-AS151-AT151-AU151-AV151-AW151-AY151-BE151-BF151-Tableau1[[#This Row],[Ville de Pantin ]]-Tableau1[[#This Row],[Est-Ensemble ]]-Tableau1[[#This Row],[ASGO]]</f>
        <v>0</v>
      </c>
    </row>
    <row r="152" spans="1:64" ht="20.100000000000001" hidden="1" customHeight="1" x14ac:dyDescent="0.25">
      <c r="A152" s="5" t="s">
        <v>418</v>
      </c>
      <c r="B152" s="5" t="s">
        <v>742</v>
      </c>
      <c r="C152" s="14" t="s">
        <v>1279</v>
      </c>
      <c r="D152" s="14" t="s">
        <v>1021</v>
      </c>
      <c r="E152" s="5" t="s">
        <v>456</v>
      </c>
      <c r="G152" s="14" t="s">
        <v>1280</v>
      </c>
      <c r="H152" s="404" t="s">
        <v>743</v>
      </c>
      <c r="I152" s="5" t="s">
        <v>720</v>
      </c>
      <c r="J152" s="5" t="s">
        <v>68</v>
      </c>
      <c r="K152" s="5" t="s">
        <v>69</v>
      </c>
      <c r="L152" s="5" t="s">
        <v>456</v>
      </c>
      <c r="O152" s="5" t="s">
        <v>42</v>
      </c>
      <c r="P152" s="5" t="s">
        <v>376</v>
      </c>
      <c r="Q152" s="227">
        <v>101329</v>
      </c>
      <c r="R152" s="7">
        <v>121595</v>
      </c>
      <c r="S152" s="7">
        <v>101329</v>
      </c>
      <c r="T152" s="7">
        <v>50665</v>
      </c>
      <c r="U152" s="7"/>
      <c r="V152" s="7">
        <v>0</v>
      </c>
      <c r="W152" s="7">
        <v>0</v>
      </c>
      <c r="X152" s="7">
        <v>50665</v>
      </c>
      <c r="Y152" s="7"/>
      <c r="Z152" s="7"/>
      <c r="AA152" s="7"/>
      <c r="AB152" s="7"/>
      <c r="AC152" s="7"/>
      <c r="AD152" s="7"/>
      <c r="AE152" s="7"/>
      <c r="AF152" s="7"/>
      <c r="AG152" s="7"/>
      <c r="AH152" s="7">
        <v>50665</v>
      </c>
      <c r="AI152" s="7"/>
      <c r="AJ152" s="7"/>
      <c r="AK152" s="7"/>
      <c r="AL152" s="7"/>
      <c r="AM152" s="7"/>
      <c r="AN152" s="7"/>
      <c r="AO152" s="7"/>
      <c r="AP152" s="7"/>
      <c r="AQ152" s="7"/>
      <c r="AR152" s="7"/>
      <c r="AS152" s="7"/>
      <c r="AT152" s="7">
        <v>0</v>
      </c>
      <c r="AU152" s="7">
        <v>0</v>
      </c>
      <c r="AV152" s="7">
        <v>0</v>
      </c>
      <c r="AW152" s="7">
        <v>0</v>
      </c>
      <c r="AX152" s="7">
        <v>0</v>
      </c>
      <c r="BG152" s="8">
        <v>42445</v>
      </c>
      <c r="BH152" s="5">
        <v>6</v>
      </c>
      <c r="BI152" s="5">
        <v>311</v>
      </c>
      <c r="BJ152" s="5">
        <v>0</v>
      </c>
      <c r="BK152" s="5">
        <f>Tableau1[[#This Row],[Base de financement]]-Tableau1[[#This Row],[Subvention ANRU]]-Tableau1[[#This Row],[Ville]]-Tableau1[[#This Row],[Plaine Commune]]-Tableau1[[#This Row],[Bailleurs]]-Tableau1[[#This Row],[CDC]]-Tableau1[[#This Row],[CD93]]-Tableau1[[#This Row],[CRIF]]-Tableau1[[#This Row],[Europe]]-Tableau1[[#This Row],[Autres]]</f>
        <v>-1</v>
      </c>
      <c r="BL152" s="412">
        <f>S152-T152-V152-W152-Y152-Z152-AA152-AB152-AC152-AD152-AE152-AF152-AG152-AH152-AI152-AJ152-AK152-AL152-AM152-AN152-AO152-AP152-AQ152-AR152-AS152-AT152-AU152-AV152-AW152-AY152-BE152-BF152-Tableau1[[#This Row],[Ville de Pantin ]]-Tableau1[[#This Row],[Est-Ensemble ]]-Tableau1[[#This Row],[ASGO]]</f>
        <v>-1</v>
      </c>
    </row>
    <row r="153" spans="1:64" ht="20.100000000000001" hidden="1" customHeight="1" x14ac:dyDescent="0.25">
      <c r="A153" s="5" t="s">
        <v>418</v>
      </c>
      <c r="B153" s="5" t="s">
        <v>732</v>
      </c>
      <c r="C153" s="14" t="s">
        <v>1279</v>
      </c>
      <c r="D153" s="14" t="s">
        <v>1021</v>
      </c>
      <c r="E153" s="5" t="s">
        <v>456</v>
      </c>
      <c r="G153" s="14" t="s">
        <v>1280</v>
      </c>
      <c r="H153" s="404" t="s">
        <v>733</v>
      </c>
      <c r="I153" s="5" t="s">
        <v>720</v>
      </c>
      <c r="J153" s="5" t="s">
        <v>68</v>
      </c>
      <c r="K153" s="5" t="s">
        <v>69</v>
      </c>
      <c r="L153" s="5" t="s">
        <v>456</v>
      </c>
      <c r="O153" s="5" t="s">
        <v>42</v>
      </c>
      <c r="P153" s="5" t="s">
        <v>376</v>
      </c>
      <c r="Q153" s="227">
        <v>19720</v>
      </c>
      <c r="R153" s="7">
        <v>23664</v>
      </c>
      <c r="S153" s="7">
        <v>19720</v>
      </c>
      <c r="T153" s="7">
        <v>9860</v>
      </c>
      <c r="U153" s="7"/>
      <c r="V153" s="7">
        <v>0</v>
      </c>
      <c r="W153" s="7">
        <v>0</v>
      </c>
      <c r="X153" s="7">
        <v>9860</v>
      </c>
      <c r="Y153" s="7"/>
      <c r="Z153" s="7"/>
      <c r="AA153" s="7"/>
      <c r="AB153" s="7"/>
      <c r="AC153" s="7"/>
      <c r="AD153" s="7"/>
      <c r="AE153" s="7"/>
      <c r="AF153" s="7"/>
      <c r="AG153" s="7"/>
      <c r="AH153" s="7">
        <v>9860</v>
      </c>
      <c r="AI153" s="7"/>
      <c r="AJ153" s="7"/>
      <c r="AK153" s="7"/>
      <c r="AL153" s="7"/>
      <c r="AM153" s="7"/>
      <c r="AN153" s="7"/>
      <c r="AO153" s="7"/>
      <c r="AP153" s="7"/>
      <c r="AQ153" s="7"/>
      <c r="AR153" s="7"/>
      <c r="AS153" s="7"/>
      <c r="AT153" s="7">
        <v>0</v>
      </c>
      <c r="AU153" s="7">
        <v>0</v>
      </c>
      <c r="AV153" s="7">
        <v>0</v>
      </c>
      <c r="AW153" s="7">
        <v>0</v>
      </c>
      <c r="AX153" s="7">
        <v>0</v>
      </c>
      <c r="BG153" s="8">
        <v>42445</v>
      </c>
      <c r="BH153" s="5">
        <v>3</v>
      </c>
      <c r="BI153" s="5">
        <v>85</v>
      </c>
      <c r="BJ153" s="5">
        <v>0</v>
      </c>
      <c r="BK153" s="5">
        <f>Tableau1[[#This Row],[Base de financement]]-Tableau1[[#This Row],[Subvention ANRU]]-Tableau1[[#This Row],[Ville]]-Tableau1[[#This Row],[Plaine Commune]]-Tableau1[[#This Row],[Bailleurs]]-Tableau1[[#This Row],[CDC]]-Tableau1[[#This Row],[CD93]]-Tableau1[[#This Row],[CRIF]]-Tableau1[[#This Row],[Europe]]-Tableau1[[#This Row],[Autres]]</f>
        <v>0</v>
      </c>
      <c r="BL153" s="412">
        <f>S153-T153-V153-W153-Y153-Z153-AA153-AB153-AC153-AD153-AE153-AF153-AG153-AH153-AI153-AJ153-AK153-AL153-AM153-AN153-AO153-AP153-AQ153-AR153-AS153-AT153-AU153-AV153-AW153-AY153-BE153-BF153-Tableau1[[#This Row],[Ville de Pantin ]]-Tableau1[[#This Row],[Est-Ensemble ]]-Tableau1[[#This Row],[ASGO]]</f>
        <v>0</v>
      </c>
    </row>
    <row r="154" spans="1:64" ht="20.100000000000001" hidden="1" customHeight="1" x14ac:dyDescent="0.25">
      <c r="A154" s="5" t="s">
        <v>418</v>
      </c>
      <c r="B154" s="5" t="s">
        <v>736</v>
      </c>
      <c r="C154" s="14" t="s">
        <v>1279</v>
      </c>
      <c r="D154" s="14" t="s">
        <v>1021</v>
      </c>
      <c r="E154" s="5" t="s">
        <v>456</v>
      </c>
      <c r="G154" s="14" t="s">
        <v>1280</v>
      </c>
      <c r="H154" s="404" t="s">
        <v>737</v>
      </c>
      <c r="I154" s="5" t="s">
        <v>738</v>
      </c>
      <c r="J154" s="5" t="s">
        <v>68</v>
      </c>
      <c r="K154" s="5" t="s">
        <v>69</v>
      </c>
      <c r="L154" s="5" t="s">
        <v>456</v>
      </c>
      <c r="O154" s="5" t="s">
        <v>42</v>
      </c>
      <c r="P154" s="5" t="s">
        <v>739</v>
      </c>
      <c r="Q154" s="227">
        <v>50000</v>
      </c>
      <c r="R154" s="7">
        <v>60000</v>
      </c>
      <c r="S154" s="7">
        <v>50000</v>
      </c>
      <c r="T154" s="7">
        <v>25000</v>
      </c>
      <c r="U154" s="7"/>
      <c r="V154" s="7">
        <v>0</v>
      </c>
      <c r="W154" s="7">
        <v>0</v>
      </c>
      <c r="X154" s="7">
        <v>25000</v>
      </c>
      <c r="Y154" s="7"/>
      <c r="Z154" s="7"/>
      <c r="AA154" s="7"/>
      <c r="AB154" s="7"/>
      <c r="AC154" s="7"/>
      <c r="AD154" s="7"/>
      <c r="AE154" s="7"/>
      <c r="AF154" s="7"/>
      <c r="AG154" s="7"/>
      <c r="AH154" s="7">
        <v>25000</v>
      </c>
      <c r="AI154" s="7"/>
      <c r="AJ154" s="7"/>
      <c r="AK154" s="7"/>
      <c r="AL154" s="7"/>
      <c r="AM154" s="7"/>
      <c r="AN154" s="7"/>
      <c r="AO154" s="7"/>
      <c r="AP154" s="7"/>
      <c r="AQ154" s="7"/>
      <c r="AR154" s="7"/>
      <c r="AS154" s="7"/>
      <c r="AT154" s="7">
        <v>0</v>
      </c>
      <c r="AU154" s="7">
        <v>0</v>
      </c>
      <c r="AV154" s="7">
        <v>0</v>
      </c>
      <c r="AW154" s="7">
        <v>0</v>
      </c>
      <c r="AX154" s="7">
        <v>0</v>
      </c>
      <c r="BG154" s="8">
        <v>42445</v>
      </c>
      <c r="BH154" s="5">
        <v>4</v>
      </c>
      <c r="BI154" s="5">
        <v>649</v>
      </c>
      <c r="BJ154" s="5">
        <v>0</v>
      </c>
      <c r="BK154" s="5">
        <f>Tableau1[[#This Row],[Base de financement]]-Tableau1[[#This Row],[Subvention ANRU]]-Tableau1[[#This Row],[Ville]]-Tableau1[[#This Row],[Plaine Commune]]-Tableau1[[#This Row],[Bailleurs]]-Tableau1[[#This Row],[CDC]]-Tableau1[[#This Row],[CD93]]-Tableau1[[#This Row],[CRIF]]-Tableau1[[#This Row],[Europe]]-Tableau1[[#This Row],[Autres]]</f>
        <v>0</v>
      </c>
      <c r="BL154" s="412">
        <f>S154-T154-V154-W154-Y154-Z154-AA154-AB154-AC154-AD154-AE154-AF154-AG154-AH154-AI154-AJ154-AK154-AL154-AM154-AN154-AO154-AP154-AQ154-AR154-AS154-AT154-AU154-AV154-AW154-AY154-BE154-BF154-Tableau1[[#This Row],[Ville de Pantin ]]-Tableau1[[#This Row],[Est-Ensemble ]]-Tableau1[[#This Row],[ASGO]]</f>
        <v>0</v>
      </c>
    </row>
    <row r="155" spans="1:64" ht="20.100000000000001" hidden="1" customHeight="1" x14ac:dyDescent="0.25">
      <c r="A155" s="5" t="s">
        <v>550</v>
      </c>
      <c r="B155" s="5" t="s">
        <v>558</v>
      </c>
      <c r="C155" s="14" t="s">
        <v>1331</v>
      </c>
      <c r="D155" s="5" t="s">
        <v>1330</v>
      </c>
      <c r="F155" s="5" t="s">
        <v>552</v>
      </c>
      <c r="H155" s="404" t="s">
        <v>559</v>
      </c>
      <c r="J155" s="5" t="s">
        <v>68</v>
      </c>
      <c r="K155" s="5" t="s">
        <v>69</v>
      </c>
      <c r="L155" s="5" t="s">
        <v>448</v>
      </c>
      <c r="O155" s="5" t="s">
        <v>42</v>
      </c>
      <c r="P155" s="5" t="s">
        <v>560</v>
      </c>
      <c r="Q155" s="227">
        <v>25000</v>
      </c>
      <c r="R155" s="7">
        <v>30000</v>
      </c>
      <c r="S155" s="7">
        <v>25000</v>
      </c>
      <c r="T155" s="7">
        <v>12500</v>
      </c>
      <c r="U155" s="7"/>
      <c r="V155" s="7">
        <v>0</v>
      </c>
      <c r="W155" s="7">
        <v>0</v>
      </c>
      <c r="X155" s="7">
        <v>12500</v>
      </c>
      <c r="Y155" s="7"/>
      <c r="Z155" s="7"/>
      <c r="AA155" s="7"/>
      <c r="AB155" s="7"/>
      <c r="AC155" s="7"/>
      <c r="AD155" s="7"/>
      <c r="AE155" s="7"/>
      <c r="AF155" s="7">
        <v>12500</v>
      </c>
      <c r="AG155" s="7"/>
      <c r="AH155" s="7"/>
      <c r="AI155" s="7"/>
      <c r="AJ155" s="7"/>
      <c r="AK155" s="7"/>
      <c r="AL155" s="7"/>
      <c r="AM155" s="7"/>
      <c r="AN155" s="7"/>
      <c r="AO155" s="7"/>
      <c r="AP155" s="7"/>
      <c r="AQ155" s="7"/>
      <c r="AR155" s="7"/>
      <c r="AS155" s="7"/>
      <c r="AT155" s="7">
        <v>0</v>
      </c>
      <c r="AU155" s="7">
        <v>0</v>
      </c>
      <c r="AV155" s="7">
        <v>0</v>
      </c>
      <c r="AW155" s="7">
        <v>0</v>
      </c>
      <c r="AX155" s="7">
        <v>0</v>
      </c>
      <c r="BG155" s="8">
        <v>42445</v>
      </c>
      <c r="BH155" s="5">
        <v>4</v>
      </c>
      <c r="BI155" s="5">
        <v>308</v>
      </c>
      <c r="BJ155" s="5">
        <v>0</v>
      </c>
      <c r="BK155" s="5">
        <f>Tableau1[[#This Row],[Base de financement]]-Tableau1[[#This Row],[Subvention ANRU]]-Tableau1[[#This Row],[Ville]]-Tableau1[[#This Row],[Plaine Commune]]-Tableau1[[#This Row],[Bailleurs]]-Tableau1[[#This Row],[CDC]]-Tableau1[[#This Row],[CD93]]-Tableau1[[#This Row],[CRIF]]-Tableau1[[#This Row],[Europe]]-Tableau1[[#This Row],[Autres]]</f>
        <v>0</v>
      </c>
      <c r="BL155" s="412">
        <f>S155-T155-V155-W155-Y155-Z155-AA155-AB155-AC155-AD155-AE155-AF155-AG155-AH155-AI155-AJ155-AK155-AL155-AM155-AN155-AO155-AP155-AQ155-AR155-AS155-AT155-AU155-AV155-AW155-AY155-BE155-BF155-Tableau1[[#This Row],[Ville de Pantin ]]-Tableau1[[#This Row],[Est-Ensemble ]]-Tableau1[[#This Row],[ASGO]]</f>
        <v>0</v>
      </c>
    </row>
    <row r="156" spans="1:64" ht="20.100000000000001" hidden="1" customHeight="1" x14ac:dyDescent="0.25">
      <c r="A156" s="5" t="s">
        <v>550</v>
      </c>
      <c r="B156" s="5" t="s">
        <v>555</v>
      </c>
      <c r="C156" s="14" t="s">
        <v>1332</v>
      </c>
      <c r="D156" s="5" t="s">
        <v>1330</v>
      </c>
      <c r="F156" s="5" t="s">
        <v>552</v>
      </c>
      <c r="H156" s="404" t="s">
        <v>556</v>
      </c>
      <c r="J156" s="5" t="s">
        <v>68</v>
      </c>
      <c r="K156" s="5" t="s">
        <v>69</v>
      </c>
      <c r="L156" s="5" t="s">
        <v>448</v>
      </c>
      <c r="O156" s="5" t="s">
        <v>42</v>
      </c>
      <c r="P156" s="5" t="s">
        <v>557</v>
      </c>
      <c r="Q156" s="227">
        <v>35000</v>
      </c>
      <c r="R156" s="7">
        <v>42000</v>
      </c>
      <c r="S156" s="7">
        <v>35000</v>
      </c>
      <c r="T156" s="7">
        <v>17500</v>
      </c>
      <c r="U156" s="7"/>
      <c r="V156" s="7">
        <v>0</v>
      </c>
      <c r="W156" s="7">
        <v>0</v>
      </c>
      <c r="X156" s="7">
        <v>17500</v>
      </c>
      <c r="Y156" s="7"/>
      <c r="Z156" s="7"/>
      <c r="AA156" s="7"/>
      <c r="AB156" s="7"/>
      <c r="AC156" s="7"/>
      <c r="AD156" s="7"/>
      <c r="AE156" s="7"/>
      <c r="AF156" s="7">
        <v>17500</v>
      </c>
      <c r="AG156" s="7"/>
      <c r="AH156" s="7"/>
      <c r="AI156" s="7"/>
      <c r="AJ156" s="7"/>
      <c r="AK156" s="7"/>
      <c r="AL156" s="7"/>
      <c r="AM156" s="7"/>
      <c r="AN156" s="7"/>
      <c r="AO156" s="7"/>
      <c r="AP156" s="7"/>
      <c r="AQ156" s="7"/>
      <c r="AR156" s="7"/>
      <c r="AS156" s="7"/>
      <c r="AT156" s="7">
        <v>0</v>
      </c>
      <c r="AU156" s="7">
        <v>0</v>
      </c>
      <c r="AV156" s="7">
        <v>0</v>
      </c>
      <c r="AW156" s="7">
        <v>0</v>
      </c>
      <c r="AX156" s="7">
        <v>0</v>
      </c>
      <c r="BG156" s="8">
        <v>42445</v>
      </c>
      <c r="BH156" s="5">
        <v>4</v>
      </c>
      <c r="BI156" s="5">
        <v>308</v>
      </c>
      <c r="BJ156" s="5">
        <v>0</v>
      </c>
      <c r="BK156" s="5">
        <f>Tableau1[[#This Row],[Base de financement]]-Tableau1[[#This Row],[Subvention ANRU]]-Tableau1[[#This Row],[Ville]]-Tableau1[[#This Row],[Plaine Commune]]-Tableau1[[#This Row],[Bailleurs]]-Tableau1[[#This Row],[CDC]]-Tableau1[[#This Row],[CD93]]-Tableau1[[#This Row],[CRIF]]-Tableau1[[#This Row],[Europe]]-Tableau1[[#This Row],[Autres]]</f>
        <v>0</v>
      </c>
      <c r="BL156" s="412">
        <f>S156-T156-V156-W156-Y156-Z156-AA156-AB156-AC156-AD156-AE156-AF156-AG156-AH156-AI156-AJ156-AK156-AL156-AM156-AN156-AO156-AP156-AQ156-AR156-AS156-AT156-AU156-AV156-AW156-AY156-BE156-BF156-Tableau1[[#This Row],[Ville de Pantin ]]-Tableau1[[#This Row],[Est-Ensemble ]]-Tableau1[[#This Row],[ASGO]]</f>
        <v>0</v>
      </c>
    </row>
    <row r="157" spans="1:64" ht="20.100000000000001" customHeight="1" x14ac:dyDescent="0.25">
      <c r="A157" s="5" t="s">
        <v>343</v>
      </c>
      <c r="B157" s="5" t="s">
        <v>344</v>
      </c>
      <c r="C157" s="14" t="s">
        <v>1327</v>
      </c>
      <c r="D157" s="14" t="s">
        <v>587</v>
      </c>
      <c r="E157" s="5" t="s">
        <v>36</v>
      </c>
      <c r="F157" s="5" t="s">
        <v>345</v>
      </c>
      <c r="G157" s="14" t="s">
        <v>1326</v>
      </c>
      <c r="H157" s="404" t="s">
        <v>346</v>
      </c>
      <c r="I157" s="5" t="s">
        <v>38</v>
      </c>
      <c r="J157" s="5" t="s">
        <v>40</v>
      </c>
      <c r="K157" s="5" t="s">
        <v>41</v>
      </c>
      <c r="L157" s="5" t="s">
        <v>22</v>
      </c>
      <c r="O157" s="5" t="s">
        <v>42</v>
      </c>
      <c r="P157" s="5" t="s">
        <v>347</v>
      </c>
      <c r="Q157" s="227">
        <v>70000</v>
      </c>
      <c r="R157" s="7">
        <v>84000</v>
      </c>
      <c r="S157" s="7">
        <v>70000</v>
      </c>
      <c r="T157" s="7">
        <v>28000</v>
      </c>
      <c r="U157" s="7"/>
      <c r="V157" s="7">
        <v>0</v>
      </c>
      <c r="W157" s="7">
        <v>35000</v>
      </c>
      <c r="X157" s="7">
        <v>0</v>
      </c>
      <c r="Y157" s="7"/>
      <c r="Z157" s="7"/>
      <c r="AA157" s="7"/>
      <c r="AB157" s="7"/>
      <c r="AC157" s="7"/>
      <c r="AD157" s="7"/>
      <c r="AE157" s="7"/>
      <c r="AF157" s="7"/>
      <c r="AG157" s="7"/>
      <c r="AH157" s="7"/>
      <c r="AI157" s="7"/>
      <c r="AJ157" s="7"/>
      <c r="AK157" s="7"/>
      <c r="AL157" s="7"/>
      <c r="AM157" s="7"/>
      <c r="AN157" s="7"/>
      <c r="AO157" s="7"/>
      <c r="AP157" s="7"/>
      <c r="AQ157" s="7"/>
      <c r="AR157" s="7"/>
      <c r="AS157" s="7"/>
      <c r="AT157" s="7">
        <v>7000</v>
      </c>
      <c r="AU157" s="7">
        <v>0</v>
      </c>
      <c r="AV157" s="7">
        <v>0</v>
      </c>
      <c r="AW157" s="7">
        <v>0</v>
      </c>
      <c r="AX157" s="7">
        <v>0</v>
      </c>
      <c r="BG157" s="8">
        <v>42445</v>
      </c>
      <c r="BH157" s="5">
        <v>6</v>
      </c>
      <c r="BI157" s="5">
        <v>0</v>
      </c>
      <c r="BJ157" s="5">
        <v>0</v>
      </c>
      <c r="BK157" s="5">
        <f>Tableau1[[#This Row],[Base de financement]]-Tableau1[[#This Row],[Subvention ANRU]]-Tableau1[[#This Row],[Ville]]-Tableau1[[#This Row],[Plaine Commune]]-Tableau1[[#This Row],[Bailleurs]]-Tableau1[[#This Row],[CDC]]-Tableau1[[#This Row],[CD93]]-Tableau1[[#This Row],[CRIF]]-Tableau1[[#This Row],[Europe]]-Tableau1[[#This Row],[Autres]]</f>
        <v>0</v>
      </c>
      <c r="BL157" s="412">
        <f>S157-T157-V157-W157-Y157-Z157-AA157-AB157-AC157-AD157-AE157-AF157-AG157-AH157-AI157-AJ157-AK157-AL157-AM157-AN157-AO157-AP157-AQ157-AR157-AS157-AT157-AU157-AV157-AW157-AY157-BE157-BF157-Tableau1[[#This Row],[Ville de Pantin ]]-Tableau1[[#This Row],[Est-Ensemble ]]-Tableau1[[#This Row],[ASGO]]</f>
        <v>0</v>
      </c>
    </row>
    <row r="158" spans="1:64" ht="20.100000000000001" customHeight="1" x14ac:dyDescent="0.25">
      <c r="A158" s="5" t="s">
        <v>550</v>
      </c>
      <c r="B158" s="5" t="s">
        <v>551</v>
      </c>
      <c r="C158" s="14" t="s">
        <v>1327</v>
      </c>
      <c r="D158" s="14" t="s">
        <v>587</v>
      </c>
      <c r="E158" s="5" t="s">
        <v>36</v>
      </c>
      <c r="F158" s="5" t="s">
        <v>552</v>
      </c>
      <c r="G158" s="14" t="s">
        <v>1326</v>
      </c>
      <c r="H158" s="404" t="s">
        <v>553</v>
      </c>
      <c r="I158" s="5" t="s">
        <v>251</v>
      </c>
      <c r="J158" s="5" t="s">
        <v>40</v>
      </c>
      <c r="K158" s="5" t="s">
        <v>41</v>
      </c>
      <c r="L158" s="5" t="s">
        <v>22</v>
      </c>
      <c r="O158" s="5" t="s">
        <v>42</v>
      </c>
      <c r="P158" s="5" t="s">
        <v>554</v>
      </c>
      <c r="Q158" s="227">
        <v>33000</v>
      </c>
      <c r="R158" s="7">
        <v>39600</v>
      </c>
      <c r="S158" s="7">
        <v>33000</v>
      </c>
      <c r="T158" s="7">
        <v>16500</v>
      </c>
      <c r="U158" s="7"/>
      <c r="V158" s="7">
        <v>0</v>
      </c>
      <c r="W158" s="7">
        <v>16500</v>
      </c>
      <c r="X158" s="7">
        <v>0</v>
      </c>
      <c r="Y158" s="7"/>
      <c r="Z158" s="7"/>
      <c r="AA158" s="7"/>
      <c r="AB158" s="7"/>
      <c r="AC158" s="7"/>
      <c r="AD158" s="7"/>
      <c r="AE158" s="7"/>
      <c r="AF158" s="7"/>
      <c r="AG158" s="7"/>
      <c r="AH158" s="7"/>
      <c r="AI158" s="7"/>
      <c r="AJ158" s="7"/>
      <c r="AK158" s="7"/>
      <c r="AL158" s="7"/>
      <c r="AM158" s="7"/>
      <c r="AN158" s="7"/>
      <c r="AO158" s="7"/>
      <c r="AP158" s="7"/>
      <c r="AQ158" s="7"/>
      <c r="AR158" s="7"/>
      <c r="AS158" s="7"/>
      <c r="AT158" s="7">
        <v>0</v>
      </c>
      <c r="AU158" s="7">
        <v>0</v>
      </c>
      <c r="AV158" s="7">
        <v>0</v>
      </c>
      <c r="AW158" s="7">
        <v>0</v>
      </c>
      <c r="AX158" s="7">
        <v>0</v>
      </c>
      <c r="BG158" s="8">
        <v>42430</v>
      </c>
      <c r="BH158" s="5">
        <v>6</v>
      </c>
      <c r="BI158" s="5">
        <v>0</v>
      </c>
      <c r="BJ158" s="5">
        <v>0</v>
      </c>
      <c r="BK158" s="5">
        <f>Tableau1[[#This Row],[Base de financement]]-Tableau1[[#This Row],[Subvention ANRU]]-Tableau1[[#This Row],[Ville]]-Tableau1[[#This Row],[Plaine Commune]]-Tableau1[[#This Row],[Bailleurs]]-Tableau1[[#This Row],[CDC]]-Tableau1[[#This Row],[CD93]]-Tableau1[[#This Row],[CRIF]]-Tableau1[[#This Row],[Europe]]-Tableau1[[#This Row],[Autres]]</f>
        <v>0</v>
      </c>
      <c r="BL158" s="412">
        <f>S158-T158-V158-W158-Y158-Z158-AA158-AB158-AC158-AD158-AE158-AF158-AG158-AH158-AI158-AJ158-AK158-AL158-AM158-AN158-AO158-AP158-AQ158-AR158-AS158-AT158-AU158-AV158-AW158-AY158-BE158-BF158-Tableau1[[#This Row],[Ville de Pantin ]]-Tableau1[[#This Row],[Est-Ensemble ]]-Tableau1[[#This Row],[ASGO]]</f>
        <v>0</v>
      </c>
    </row>
    <row r="159" spans="1:64" ht="20.100000000000001" customHeight="1" x14ac:dyDescent="0.25">
      <c r="A159" s="264" t="s">
        <v>550</v>
      </c>
      <c r="B159" s="264" t="s">
        <v>561</v>
      </c>
      <c r="C159" s="14" t="s">
        <v>1327</v>
      </c>
      <c r="D159" s="346" t="s">
        <v>587</v>
      </c>
      <c r="E159" s="264" t="s">
        <v>36</v>
      </c>
      <c r="F159" s="264" t="s">
        <v>562</v>
      </c>
      <c r="G159" s="14" t="s">
        <v>1326</v>
      </c>
      <c r="H159" s="460" t="s">
        <v>1094</v>
      </c>
      <c r="I159" s="264" t="s">
        <v>251</v>
      </c>
      <c r="J159" s="264" t="s">
        <v>40</v>
      </c>
      <c r="K159" s="264" t="s">
        <v>41</v>
      </c>
      <c r="L159" s="264" t="s">
        <v>22</v>
      </c>
      <c r="M159" s="264"/>
      <c r="N159" s="264"/>
      <c r="O159" s="264" t="s">
        <v>42</v>
      </c>
      <c r="P159" s="264" t="s">
        <v>563</v>
      </c>
      <c r="Q159" s="405">
        <v>267000</v>
      </c>
      <c r="R159" s="265">
        <v>284400</v>
      </c>
      <c r="S159" s="265">
        <v>267000</v>
      </c>
      <c r="T159" s="265">
        <v>120500</v>
      </c>
      <c r="U159" s="265"/>
      <c r="V159" s="265">
        <v>0</v>
      </c>
      <c r="W159" s="265">
        <v>114000</v>
      </c>
      <c r="X159" s="406">
        <v>19500</v>
      </c>
      <c r="Y159" s="265"/>
      <c r="Z159" s="265"/>
      <c r="AA159" s="265">
        <v>1015</v>
      </c>
      <c r="AB159" s="265">
        <v>15448</v>
      </c>
      <c r="AC159" s="265"/>
      <c r="AD159" s="265"/>
      <c r="AE159" s="265"/>
      <c r="AF159" s="265">
        <v>3036</v>
      </c>
      <c r="AG159" s="265"/>
      <c r="AH159" s="265"/>
      <c r="AI159" s="265"/>
      <c r="AJ159" s="265"/>
      <c r="AK159" s="265"/>
      <c r="AL159" s="265"/>
      <c r="AM159" s="265"/>
      <c r="AN159" s="265"/>
      <c r="AO159" s="265"/>
      <c r="AP159" s="265"/>
      <c r="AQ159" s="265"/>
      <c r="AR159" s="265"/>
      <c r="AS159" s="265"/>
      <c r="AT159" s="265">
        <v>13000</v>
      </c>
      <c r="AU159" s="265">
        <v>0</v>
      </c>
      <c r="AV159" s="265">
        <v>0</v>
      </c>
      <c r="AW159" s="265">
        <v>0</v>
      </c>
      <c r="AX159" s="265">
        <v>0</v>
      </c>
      <c r="BG159" s="8">
        <v>42445</v>
      </c>
      <c r="BH159" s="5">
        <v>10</v>
      </c>
      <c r="BI159" s="5">
        <v>0</v>
      </c>
      <c r="BJ159" s="5">
        <v>0</v>
      </c>
      <c r="BK159" s="5">
        <f>Tableau1[[#This Row],[Base de financement]]-Tableau1[[#This Row],[Subvention ANRU]]-Tableau1[[#This Row],[Ville]]-Tableau1[[#This Row],[Plaine Commune]]-Tableau1[[#This Row],[Bailleurs]]-Tableau1[[#This Row],[CDC]]-Tableau1[[#This Row],[CD93]]-Tableau1[[#This Row],[CRIF]]-Tableau1[[#This Row],[Europe]]-Tableau1[[#This Row],[Autres]]</f>
        <v>0</v>
      </c>
      <c r="BL159" s="412">
        <f>S159-T159-V159-W159-Y159-Z159-AA159-AB159-AC159-AD159-AE159-AF159-AG159-AH159-AI159-AJ159-AK159-AL159-AM159-AN159-AO159-AP159-AQ159-AR159-AS159-AT159-AU159-AV159-AW159-AY159-BE159-BF159-Tableau1[[#This Row],[Ville de Pantin ]]-Tableau1[[#This Row],[Est-Ensemble ]]-Tableau1[[#This Row],[ASGO]]</f>
        <v>1</v>
      </c>
    </row>
    <row r="160" spans="1:64" ht="20.100000000000001" hidden="1" customHeight="1" x14ac:dyDescent="0.25">
      <c r="A160" s="5" t="s">
        <v>585</v>
      </c>
      <c r="B160" s="5" t="s">
        <v>586</v>
      </c>
      <c r="C160" s="14" t="s">
        <v>1333</v>
      </c>
      <c r="D160" s="14" t="s">
        <v>587</v>
      </c>
      <c r="G160" s="14" t="s">
        <v>1337</v>
      </c>
      <c r="H160" s="404" t="s">
        <v>588</v>
      </c>
      <c r="J160" s="5" t="s">
        <v>68</v>
      </c>
      <c r="K160" s="5" t="s">
        <v>61</v>
      </c>
      <c r="L160" s="5" t="s">
        <v>589</v>
      </c>
      <c r="O160" s="5" t="s">
        <v>42</v>
      </c>
      <c r="P160" s="5" t="s">
        <v>590</v>
      </c>
      <c r="Q160" s="227">
        <v>200000</v>
      </c>
      <c r="R160" s="7">
        <v>240000</v>
      </c>
      <c r="S160" s="7">
        <v>200000</v>
      </c>
      <c r="T160" s="7">
        <v>100000</v>
      </c>
      <c r="U160" s="7"/>
      <c r="V160" s="7">
        <v>0</v>
      </c>
      <c r="W160" s="7">
        <v>0</v>
      </c>
      <c r="X160" s="13">
        <v>100000</v>
      </c>
      <c r="Y160" s="7"/>
      <c r="Z160" s="7"/>
      <c r="AA160" s="7"/>
      <c r="AB160" s="7">
        <v>100000</v>
      </c>
      <c r="AC160" s="7"/>
      <c r="AD160" s="7"/>
      <c r="AE160" s="7"/>
      <c r="AF160" s="7"/>
      <c r="AG160" s="7"/>
      <c r="AH160" s="7"/>
      <c r="AI160" s="7"/>
      <c r="AJ160" s="7"/>
      <c r="AK160" s="7"/>
      <c r="AL160" s="7"/>
      <c r="AM160" s="7"/>
      <c r="AN160" s="7"/>
      <c r="AO160" s="7"/>
      <c r="AP160" s="7"/>
      <c r="AQ160" s="7"/>
      <c r="AR160" s="7"/>
      <c r="AS160" s="7"/>
      <c r="AT160" s="7">
        <v>0</v>
      </c>
      <c r="AU160" s="7">
        <v>0</v>
      </c>
      <c r="AV160" s="7">
        <v>0</v>
      </c>
      <c r="AW160" s="7">
        <v>0</v>
      </c>
      <c r="AX160" s="7">
        <v>0</v>
      </c>
      <c r="BG160" s="8">
        <v>42436</v>
      </c>
      <c r="BH160" s="5">
        <v>4</v>
      </c>
      <c r="BI160" s="5">
        <v>2083</v>
      </c>
      <c r="BJ160" s="5">
        <v>0</v>
      </c>
      <c r="BK160" s="5">
        <f>Tableau1[[#This Row],[Base de financement]]-Tableau1[[#This Row],[Subvention ANRU]]-Tableau1[[#This Row],[Ville]]-Tableau1[[#This Row],[Plaine Commune]]-Tableau1[[#This Row],[Bailleurs]]-Tableau1[[#This Row],[CDC]]-Tableau1[[#This Row],[CD93]]-Tableau1[[#This Row],[CRIF]]-Tableau1[[#This Row],[Europe]]-Tableau1[[#This Row],[Autres]]</f>
        <v>0</v>
      </c>
      <c r="BL160" s="412">
        <f>S160-T160-V160-W160-Y160-Z160-AA160-AB160-AC160-AD160-AE160-AF160-AG160-AH160-AI160-AJ160-AK160-AL160-AM160-AN160-AO160-AP160-AQ160-AR160-AS160-AT160-AU160-AV160-AW160-AY160-BE160-BF160-Tableau1[[#This Row],[Ville de Pantin ]]-Tableau1[[#This Row],[Est-Ensemble ]]-Tableau1[[#This Row],[ASGO]]</f>
        <v>0</v>
      </c>
    </row>
    <row r="161" spans="1:64" ht="20.100000000000001" hidden="1" customHeight="1" x14ac:dyDescent="0.25">
      <c r="A161" s="5" t="s">
        <v>585</v>
      </c>
      <c r="B161" s="5" t="s">
        <v>593</v>
      </c>
      <c r="C161" s="14" t="s">
        <v>1333</v>
      </c>
      <c r="D161" s="14" t="s">
        <v>587</v>
      </c>
      <c r="G161" s="14" t="s">
        <v>1337</v>
      </c>
      <c r="H161" s="404" t="s">
        <v>594</v>
      </c>
      <c r="J161" s="5" t="s">
        <v>68</v>
      </c>
      <c r="K161" s="5" t="s">
        <v>69</v>
      </c>
      <c r="L161" s="5" t="s">
        <v>589</v>
      </c>
      <c r="O161" s="5" t="s">
        <v>42</v>
      </c>
      <c r="P161" s="5" t="s">
        <v>595</v>
      </c>
      <c r="Q161" s="227">
        <v>125000</v>
      </c>
      <c r="R161" s="7">
        <f>Tableau1[[#This Row],[Coût HT]]*1.2</f>
        <v>150000</v>
      </c>
      <c r="S161" s="7">
        <v>130000</v>
      </c>
      <c r="T161" s="7">
        <v>62500</v>
      </c>
      <c r="U161" s="7"/>
      <c r="V161" s="7">
        <v>0</v>
      </c>
      <c r="W161" s="7">
        <v>0</v>
      </c>
      <c r="X161" s="13">
        <v>62500</v>
      </c>
      <c r="Y161" s="7"/>
      <c r="Z161" s="7"/>
      <c r="AA161" s="7">
        <v>2500</v>
      </c>
      <c r="AB161" s="7">
        <v>60000</v>
      </c>
      <c r="AC161" s="7"/>
      <c r="AD161" s="7"/>
      <c r="AE161" s="7"/>
      <c r="AF161" s="7"/>
      <c r="AG161" s="7"/>
      <c r="AH161" s="7"/>
      <c r="AI161" s="7"/>
      <c r="AJ161" s="7"/>
      <c r="AK161" s="7"/>
      <c r="AL161" s="7"/>
      <c r="AM161" s="7"/>
      <c r="AN161" s="7"/>
      <c r="AO161" s="7"/>
      <c r="AP161" s="7"/>
      <c r="AQ161" s="7"/>
      <c r="AR161" s="7"/>
      <c r="AS161" s="7"/>
      <c r="AT161" s="7">
        <v>0</v>
      </c>
      <c r="AU161" s="7">
        <v>0</v>
      </c>
      <c r="AV161" s="7">
        <v>0</v>
      </c>
      <c r="AW161" s="7">
        <v>0</v>
      </c>
      <c r="AX161" s="7">
        <v>0</v>
      </c>
      <c r="BG161" s="8">
        <v>42445</v>
      </c>
      <c r="BH161" s="5">
        <v>4</v>
      </c>
      <c r="BI161" s="5">
        <v>2083</v>
      </c>
      <c r="BJ161" s="5">
        <v>0</v>
      </c>
      <c r="BK161" s="5">
        <f>Tableau1[[#This Row],[Base de financement]]-Tableau1[[#This Row],[Subvention ANRU]]-Tableau1[[#This Row],[Ville]]-Tableau1[[#This Row],[Plaine Commune]]-Tableau1[[#This Row],[Bailleurs]]-Tableau1[[#This Row],[CDC]]-Tableau1[[#This Row],[CD93]]-Tableau1[[#This Row],[CRIF]]-Tableau1[[#This Row],[Europe]]-Tableau1[[#This Row],[Autres]]</f>
        <v>5000</v>
      </c>
      <c r="BL161" s="412">
        <f>S161-T161-V161-W161-Y161-Z161-AA161-AB161-AC161-AD161-AE161-AF161-AG161-AH161-AI161-AJ161-AK161-AL161-AM161-AN161-AO161-AP161-AQ161-AR161-AS161-AT161-AU161-AV161-AW161-AY161-BE161-BF161-Tableau1[[#This Row],[Ville de Pantin ]]-Tableau1[[#This Row],[Est-Ensemble ]]-Tableau1[[#This Row],[ASGO]]</f>
        <v>5000</v>
      </c>
    </row>
    <row r="162" spans="1:64" ht="20.100000000000001" hidden="1" customHeight="1" x14ac:dyDescent="0.25">
      <c r="A162" s="5" t="s">
        <v>585</v>
      </c>
      <c r="B162" s="5" t="s">
        <v>591</v>
      </c>
      <c r="C162" s="14" t="s">
        <v>1334</v>
      </c>
      <c r="D162" s="14" t="s">
        <v>587</v>
      </c>
      <c r="H162" s="404" t="s">
        <v>559</v>
      </c>
      <c r="J162" s="5" t="s">
        <v>68</v>
      </c>
      <c r="K162" s="5" t="s">
        <v>69</v>
      </c>
      <c r="L162" s="5" t="s">
        <v>589</v>
      </c>
      <c r="O162" s="5" t="s">
        <v>42</v>
      </c>
      <c r="P162" s="5" t="s">
        <v>592</v>
      </c>
      <c r="Q162" s="227">
        <v>225000</v>
      </c>
      <c r="R162" s="7">
        <f>Tableau1[[#This Row],[Coût HT]]*1.2</f>
        <v>270000</v>
      </c>
      <c r="S162" s="7">
        <v>220000</v>
      </c>
      <c r="T162" s="7">
        <v>112500</v>
      </c>
      <c r="U162" s="7"/>
      <c r="V162" s="7">
        <v>0</v>
      </c>
      <c r="W162" s="7">
        <v>0</v>
      </c>
      <c r="X162" s="13">
        <v>112500</v>
      </c>
      <c r="Y162" s="7"/>
      <c r="Z162" s="7"/>
      <c r="AA162" s="7">
        <v>2500</v>
      </c>
      <c r="AB162" s="7">
        <v>110000</v>
      </c>
      <c r="AC162" s="7"/>
      <c r="AD162" s="7"/>
      <c r="AE162" s="7"/>
      <c r="AF162" s="7"/>
      <c r="AG162" s="7"/>
      <c r="AH162" s="7"/>
      <c r="AI162" s="7"/>
      <c r="AJ162" s="7"/>
      <c r="AK162" s="7"/>
      <c r="AL162" s="7"/>
      <c r="AM162" s="7"/>
      <c r="AN162" s="7"/>
      <c r="AO162" s="7"/>
      <c r="AP162" s="7"/>
      <c r="AQ162" s="7"/>
      <c r="AR162" s="7"/>
      <c r="AS162" s="7"/>
      <c r="AT162" s="7">
        <v>0</v>
      </c>
      <c r="AU162" s="7">
        <v>0</v>
      </c>
      <c r="AV162" s="7">
        <v>0</v>
      </c>
      <c r="AW162" s="7">
        <v>0</v>
      </c>
      <c r="AX162" s="7">
        <v>0</v>
      </c>
      <c r="BG162" s="8">
        <v>42445</v>
      </c>
      <c r="BH162" s="5">
        <v>4</v>
      </c>
      <c r="BI162" s="5">
        <v>2083</v>
      </c>
      <c r="BJ162" s="5">
        <v>0</v>
      </c>
      <c r="BK162" s="5">
        <f>Tableau1[[#This Row],[Base de financement]]-Tableau1[[#This Row],[Subvention ANRU]]-Tableau1[[#This Row],[Ville]]-Tableau1[[#This Row],[Plaine Commune]]-Tableau1[[#This Row],[Bailleurs]]-Tableau1[[#This Row],[CDC]]-Tableau1[[#This Row],[CD93]]-Tableau1[[#This Row],[CRIF]]-Tableau1[[#This Row],[Europe]]-Tableau1[[#This Row],[Autres]]</f>
        <v>-5000</v>
      </c>
      <c r="BL162" s="412">
        <f>S162-T162-V162-W162-Y162-Z162-AA162-AB162-AC162-AD162-AE162-AF162-AG162-AH162-AI162-AJ162-AK162-AL162-AM162-AN162-AO162-AP162-AQ162-AR162-AS162-AT162-AU162-AV162-AW162-AY162-BE162-BF162-Tableau1[[#This Row],[Ville de Pantin ]]-Tableau1[[#This Row],[Est-Ensemble ]]-Tableau1[[#This Row],[ASGO]]</f>
        <v>-5000</v>
      </c>
    </row>
    <row r="163" spans="1:64" ht="20.100000000000001" customHeight="1" x14ac:dyDescent="0.25">
      <c r="A163" s="5" t="s">
        <v>585</v>
      </c>
      <c r="B163" s="5" t="s">
        <v>600</v>
      </c>
      <c r="C163" s="14" t="s">
        <v>1335</v>
      </c>
      <c r="D163" s="14" t="s">
        <v>587</v>
      </c>
      <c r="E163" s="5" t="s">
        <v>260</v>
      </c>
      <c r="H163" s="404" t="s">
        <v>601</v>
      </c>
      <c r="I163" s="5" t="s">
        <v>602</v>
      </c>
      <c r="J163" s="5" t="s">
        <v>128</v>
      </c>
      <c r="K163" s="5" t="s">
        <v>41</v>
      </c>
      <c r="L163" s="5" t="s">
        <v>22</v>
      </c>
      <c r="O163" s="5" t="s">
        <v>42</v>
      </c>
      <c r="P163" s="5" t="s">
        <v>603</v>
      </c>
      <c r="Q163" s="227">
        <v>60000</v>
      </c>
      <c r="R163" s="7">
        <v>72000</v>
      </c>
      <c r="S163" s="7">
        <v>60000</v>
      </c>
      <c r="T163" s="7">
        <v>0</v>
      </c>
      <c r="U163" s="7"/>
      <c r="V163" s="7">
        <v>0</v>
      </c>
      <c r="W163" s="7">
        <v>30000</v>
      </c>
      <c r="X163" s="7">
        <v>0</v>
      </c>
      <c r="Y163" s="7"/>
      <c r="Z163" s="7"/>
      <c r="AA163" s="7"/>
      <c r="AB163" s="7"/>
      <c r="AC163" s="7"/>
      <c r="AD163" s="7"/>
      <c r="AE163" s="7"/>
      <c r="AF163" s="7"/>
      <c r="AG163" s="7"/>
      <c r="AH163" s="7"/>
      <c r="AI163" s="7"/>
      <c r="AJ163" s="7"/>
      <c r="AK163" s="7"/>
      <c r="AL163" s="7"/>
      <c r="AM163" s="7"/>
      <c r="AN163" s="7"/>
      <c r="AO163" s="7"/>
      <c r="AP163" s="7"/>
      <c r="AQ163" s="7"/>
      <c r="AR163" s="7"/>
      <c r="AS163" s="7"/>
      <c r="AT163" s="7">
        <v>30000</v>
      </c>
      <c r="AU163" s="7">
        <v>0</v>
      </c>
      <c r="AV163" s="7">
        <v>0</v>
      </c>
      <c r="AW163" s="7">
        <v>0</v>
      </c>
      <c r="AX163" s="7">
        <v>0</v>
      </c>
      <c r="BG163" s="8">
        <v>42445</v>
      </c>
      <c r="BH163" s="5">
        <v>3</v>
      </c>
      <c r="BI163" s="5">
        <v>0</v>
      </c>
      <c r="BJ163" s="5">
        <v>0</v>
      </c>
      <c r="BK163" s="5">
        <f>Tableau1[[#This Row],[Base de financement]]-Tableau1[[#This Row],[Subvention ANRU]]-Tableau1[[#This Row],[Ville]]-Tableau1[[#This Row],[Plaine Commune]]-Tableau1[[#This Row],[Bailleurs]]-Tableau1[[#This Row],[CDC]]-Tableau1[[#This Row],[CD93]]-Tableau1[[#This Row],[CRIF]]-Tableau1[[#This Row],[Europe]]-Tableau1[[#This Row],[Autres]]</f>
        <v>0</v>
      </c>
      <c r="BL163" s="412">
        <f>S163-T163-V163-W163-Y163-Z163-AA163-AB163-AC163-AD163-AE163-AF163-AG163-AH163-AI163-AJ163-AK163-AL163-AM163-AN163-AO163-AP163-AQ163-AR163-AS163-AT163-AU163-AV163-AW163-AY163-BE163-BF163-Tableau1[[#This Row],[Ville de Pantin ]]-Tableau1[[#This Row],[Est-Ensemble ]]-Tableau1[[#This Row],[ASGO]]</f>
        <v>0</v>
      </c>
    </row>
    <row r="164" spans="1:64" ht="20.100000000000001" hidden="1" customHeight="1" x14ac:dyDescent="0.25">
      <c r="A164" s="264" t="s">
        <v>550</v>
      </c>
      <c r="B164" s="264" t="s">
        <v>564</v>
      </c>
      <c r="C164" s="14" t="s">
        <v>1336</v>
      </c>
      <c r="D164" s="346" t="s">
        <v>587</v>
      </c>
      <c r="E164" s="264"/>
      <c r="F164" s="264" t="s">
        <v>562</v>
      </c>
      <c r="G164" s="14" t="s">
        <v>1338</v>
      </c>
      <c r="H164" s="460" t="s">
        <v>565</v>
      </c>
      <c r="I164" s="264"/>
      <c r="J164" s="264" t="s">
        <v>40</v>
      </c>
      <c r="K164" s="264" t="s">
        <v>47</v>
      </c>
      <c r="L164" s="264" t="s">
        <v>566</v>
      </c>
      <c r="M164" s="264"/>
      <c r="N164" s="264"/>
      <c r="O164" s="264" t="s">
        <v>42</v>
      </c>
      <c r="P164" s="264" t="s">
        <v>567</v>
      </c>
      <c r="Q164" s="405">
        <v>40000</v>
      </c>
      <c r="R164" s="265">
        <v>48000</v>
      </c>
      <c r="S164" s="265">
        <v>40000</v>
      </c>
      <c r="T164" s="265">
        <v>20000</v>
      </c>
      <c r="U164" s="265"/>
      <c r="V164" s="265">
        <v>20000</v>
      </c>
      <c r="W164" s="265">
        <v>0</v>
      </c>
      <c r="X164" s="265">
        <v>0</v>
      </c>
      <c r="Y164" s="265"/>
      <c r="Z164" s="265"/>
      <c r="AA164" s="265"/>
      <c r="AB164" s="265"/>
      <c r="AC164" s="265"/>
      <c r="AD164" s="265"/>
      <c r="AE164" s="265"/>
      <c r="AF164" s="265"/>
      <c r="AG164" s="265"/>
      <c r="AH164" s="265"/>
      <c r="AI164" s="265"/>
      <c r="AJ164" s="265"/>
      <c r="AK164" s="265"/>
      <c r="AL164" s="265"/>
      <c r="AM164" s="265"/>
      <c r="AN164" s="265"/>
      <c r="AO164" s="265"/>
      <c r="AP164" s="265"/>
      <c r="AQ164" s="265"/>
      <c r="AR164" s="265"/>
      <c r="AS164" s="265"/>
      <c r="AT164" s="265">
        <v>0</v>
      </c>
      <c r="AU164" s="265">
        <v>0</v>
      </c>
      <c r="AV164" s="265">
        <v>0</v>
      </c>
      <c r="AW164" s="265">
        <v>0</v>
      </c>
      <c r="AX164" s="265">
        <v>0</v>
      </c>
      <c r="BG164" s="8">
        <v>42436</v>
      </c>
      <c r="BH164" s="5">
        <v>6</v>
      </c>
      <c r="BI164" s="5">
        <v>0</v>
      </c>
      <c r="BJ164" s="5">
        <v>0</v>
      </c>
      <c r="BK164" s="5">
        <f>Tableau1[[#This Row],[Base de financement]]-Tableau1[[#This Row],[Subvention ANRU]]-Tableau1[[#This Row],[Ville]]-Tableau1[[#This Row],[Plaine Commune]]-Tableau1[[#This Row],[Bailleurs]]-Tableau1[[#This Row],[CDC]]-Tableau1[[#This Row],[CD93]]-Tableau1[[#This Row],[CRIF]]-Tableau1[[#This Row],[Europe]]-Tableau1[[#This Row],[Autres]]</f>
        <v>0</v>
      </c>
      <c r="BL164" s="412">
        <f>S164-T164-V164-W164-Y164-Z164-AA164-AB164-AC164-AD164-AE164-AF164-AG164-AH164-AI164-AJ164-AK164-AL164-AM164-AN164-AO164-AP164-AQ164-AR164-AS164-AT164-AU164-AV164-AW164-AY164-BE164-BF164-Tableau1[[#This Row],[Ville de Pantin ]]-Tableau1[[#This Row],[Est-Ensemble ]]-Tableau1[[#This Row],[ASGO]]</f>
        <v>0</v>
      </c>
    </row>
    <row r="165" spans="1:64" ht="20.100000000000001" hidden="1" customHeight="1" x14ac:dyDescent="0.25">
      <c r="A165" s="264" t="s">
        <v>550</v>
      </c>
      <c r="B165" s="264" t="s">
        <v>578</v>
      </c>
      <c r="C165" s="14" t="s">
        <v>1336</v>
      </c>
      <c r="D165" s="346" t="s">
        <v>587</v>
      </c>
      <c r="E165" s="264"/>
      <c r="F165" s="264" t="s">
        <v>562</v>
      </c>
      <c r="G165" s="14" t="s">
        <v>1338</v>
      </c>
      <c r="H165" s="460" t="s">
        <v>579</v>
      </c>
      <c r="I165" s="264"/>
      <c r="J165" s="264" t="s">
        <v>40</v>
      </c>
      <c r="K165" s="264" t="s">
        <v>47</v>
      </c>
      <c r="L165" s="264" t="s">
        <v>566</v>
      </c>
      <c r="M165" s="264"/>
      <c r="N165" s="264"/>
      <c r="O165" s="264" t="s">
        <v>42</v>
      </c>
      <c r="P165" s="264" t="s">
        <v>580</v>
      </c>
      <c r="Q165" s="405">
        <v>185000</v>
      </c>
      <c r="R165" s="265">
        <v>222000</v>
      </c>
      <c r="S165" s="265">
        <v>185000</v>
      </c>
      <c r="T165" s="265">
        <v>92500</v>
      </c>
      <c r="U165" s="265" t="s">
        <v>581</v>
      </c>
      <c r="V165" s="265">
        <v>92500</v>
      </c>
      <c r="W165" s="265">
        <v>0</v>
      </c>
      <c r="X165" s="265">
        <v>0</v>
      </c>
      <c r="Y165" s="265"/>
      <c r="Z165" s="265"/>
      <c r="AA165" s="265"/>
      <c r="AB165" s="265"/>
      <c r="AC165" s="265"/>
      <c r="AD165" s="265"/>
      <c r="AE165" s="265"/>
      <c r="AF165" s="265"/>
      <c r="AG165" s="265"/>
      <c r="AH165" s="265"/>
      <c r="AI165" s="265"/>
      <c r="AJ165" s="265"/>
      <c r="AK165" s="265"/>
      <c r="AL165" s="265"/>
      <c r="AM165" s="265"/>
      <c r="AN165" s="265"/>
      <c r="AO165" s="265"/>
      <c r="AP165" s="265"/>
      <c r="AQ165" s="265"/>
      <c r="AR165" s="265"/>
      <c r="AS165" s="265"/>
      <c r="AT165" s="265">
        <v>0</v>
      </c>
      <c r="AU165" s="265">
        <v>0</v>
      </c>
      <c r="AV165" s="265">
        <v>0</v>
      </c>
      <c r="AW165" s="265">
        <v>0</v>
      </c>
      <c r="AX165" s="265">
        <v>0</v>
      </c>
      <c r="BG165" s="8">
        <v>42445</v>
      </c>
      <c r="BH165" s="5">
        <v>6</v>
      </c>
      <c r="BI165" s="5">
        <v>0</v>
      </c>
      <c r="BJ165" s="5">
        <v>0</v>
      </c>
      <c r="BK165" s="5">
        <f>Tableau1[[#This Row],[Base de financement]]-Tableau1[[#This Row],[Subvention ANRU]]-Tableau1[[#This Row],[Ville]]-Tableau1[[#This Row],[Plaine Commune]]-Tableau1[[#This Row],[Bailleurs]]-Tableau1[[#This Row],[CDC]]-Tableau1[[#This Row],[CD93]]-Tableau1[[#This Row],[CRIF]]-Tableau1[[#This Row],[Europe]]-Tableau1[[#This Row],[Autres]]</f>
        <v>0</v>
      </c>
      <c r="BL165" s="412">
        <f>S165-T165-V165-W165-Y165-Z165-AA165-AB165-AC165-AD165-AE165-AF165-AG165-AH165-AI165-AJ165-AK165-AL165-AM165-AN165-AO165-AP165-AQ165-AR165-AS165-AT165-AU165-AV165-AW165-AY165-BE165-BF165-Tableau1[[#This Row],[Ville de Pantin ]]-Tableau1[[#This Row],[Est-Ensemble ]]-Tableau1[[#This Row],[ASGO]]</f>
        <v>0</v>
      </c>
    </row>
    <row r="166" spans="1:64" ht="20.100000000000001" hidden="1" customHeight="1" x14ac:dyDescent="0.25">
      <c r="A166" s="5" t="s">
        <v>585</v>
      </c>
      <c r="B166" s="5" t="s">
        <v>596</v>
      </c>
      <c r="C166" s="14" t="s">
        <v>1336</v>
      </c>
      <c r="D166" s="14" t="s">
        <v>587</v>
      </c>
      <c r="G166" s="14" t="s">
        <v>1338</v>
      </c>
      <c r="H166" s="404" t="s">
        <v>597</v>
      </c>
      <c r="J166" s="5" t="s">
        <v>40</v>
      </c>
      <c r="K166" s="5" t="s">
        <v>47</v>
      </c>
      <c r="L166" s="5" t="s">
        <v>566</v>
      </c>
      <c r="O166" s="5" t="s">
        <v>42</v>
      </c>
      <c r="P166" s="5" t="s">
        <v>598</v>
      </c>
      <c r="Q166" s="227">
        <v>48000</v>
      </c>
      <c r="R166" s="7">
        <v>57600</v>
      </c>
      <c r="S166" s="7">
        <v>48000</v>
      </c>
      <c r="T166" s="7">
        <v>24000</v>
      </c>
      <c r="U166" s="7" t="s">
        <v>599</v>
      </c>
      <c r="V166" s="7">
        <v>24000</v>
      </c>
      <c r="W166" s="7">
        <v>0</v>
      </c>
      <c r="X166" s="7">
        <v>0</v>
      </c>
      <c r="Y166" s="7"/>
      <c r="Z166" s="7"/>
      <c r="AA166" s="7"/>
      <c r="AB166" s="7"/>
      <c r="AC166" s="7"/>
      <c r="AD166" s="7"/>
      <c r="AE166" s="7"/>
      <c r="AF166" s="7"/>
      <c r="AG166" s="7"/>
      <c r="AH166" s="7"/>
      <c r="AI166" s="7"/>
      <c r="AJ166" s="7"/>
      <c r="AK166" s="7"/>
      <c r="AL166" s="7"/>
      <c r="AM166" s="7"/>
      <c r="AN166" s="7"/>
      <c r="AO166" s="7"/>
      <c r="AP166" s="7"/>
      <c r="AQ166" s="7"/>
      <c r="AR166" s="7"/>
      <c r="AS166" s="7"/>
      <c r="AT166" s="7">
        <v>0</v>
      </c>
      <c r="AU166" s="7">
        <v>0</v>
      </c>
      <c r="AV166" s="7">
        <v>0</v>
      </c>
      <c r="AW166" s="7">
        <v>0</v>
      </c>
      <c r="AX166" s="7">
        <v>0</v>
      </c>
      <c r="BG166" s="8">
        <v>42445</v>
      </c>
      <c r="BH166" s="5">
        <v>5</v>
      </c>
      <c r="BI166" s="5">
        <v>0</v>
      </c>
      <c r="BJ166" s="5">
        <v>0</v>
      </c>
      <c r="BK166" s="5">
        <f>Tableau1[[#This Row],[Base de financement]]-Tableau1[[#This Row],[Subvention ANRU]]-Tableau1[[#This Row],[Ville]]-Tableau1[[#This Row],[Plaine Commune]]-Tableau1[[#This Row],[Bailleurs]]-Tableau1[[#This Row],[CDC]]-Tableau1[[#This Row],[CD93]]-Tableau1[[#This Row],[CRIF]]-Tableau1[[#This Row],[Europe]]-Tableau1[[#This Row],[Autres]]</f>
        <v>0</v>
      </c>
      <c r="BL166" s="412">
        <f>S166-T166-V166-W166-Y166-Z166-AA166-AB166-AC166-AD166-AE166-AF166-AG166-AH166-AI166-AJ166-AK166-AL166-AM166-AN166-AO166-AP166-AQ166-AR166-AS166-AT166-AU166-AV166-AW166-AY166-BE166-BF166-Tableau1[[#This Row],[Ville de Pantin ]]-Tableau1[[#This Row],[Est-Ensemble ]]-Tableau1[[#This Row],[ASGO]]</f>
        <v>0</v>
      </c>
    </row>
    <row r="167" spans="1:64" ht="20.100000000000001" customHeight="1" x14ac:dyDescent="0.25">
      <c r="A167" s="194" t="s">
        <v>550</v>
      </c>
      <c r="B167" s="194" t="s">
        <v>1007</v>
      </c>
      <c r="C167" s="14" t="s">
        <v>1340</v>
      </c>
      <c r="D167" s="194" t="s">
        <v>1008</v>
      </c>
      <c r="E167" s="194" t="s">
        <v>36</v>
      </c>
      <c r="F167" s="194"/>
      <c r="G167" s="194"/>
      <c r="H167" s="461" t="s">
        <v>1009</v>
      </c>
      <c r="I167" s="194"/>
      <c r="J167" s="194" t="s">
        <v>68</v>
      </c>
      <c r="K167" s="194"/>
      <c r="L167" s="194" t="s">
        <v>22</v>
      </c>
      <c r="M167" s="194"/>
      <c r="N167" s="194"/>
      <c r="O167" s="194"/>
      <c r="P167" s="194"/>
      <c r="Q167" s="465">
        <v>0</v>
      </c>
      <c r="R167" s="196">
        <v>0</v>
      </c>
      <c r="S167" s="196">
        <v>0</v>
      </c>
      <c r="T167" s="196">
        <v>0</v>
      </c>
      <c r="U167" s="469" t="s">
        <v>1391</v>
      </c>
      <c r="V167" s="196">
        <v>0</v>
      </c>
      <c r="W167" s="465">
        <v>0</v>
      </c>
      <c r="X167" s="196">
        <v>0</v>
      </c>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v>0</v>
      </c>
      <c r="AU167" s="196">
        <v>0</v>
      </c>
      <c r="AV167" s="465">
        <v>0</v>
      </c>
      <c r="AW167" s="196">
        <v>0</v>
      </c>
      <c r="AX167" s="196">
        <v>0</v>
      </c>
      <c r="BG167" s="8"/>
      <c r="BJ167" s="5"/>
      <c r="BK167" s="5">
        <f>Tableau1[[#This Row],[Base de financement]]-Tableau1[[#This Row],[Subvention ANRU]]-Tableau1[[#This Row],[Ville]]-Tableau1[[#This Row],[Plaine Commune]]-Tableau1[[#This Row],[Bailleurs]]-Tableau1[[#This Row],[CDC]]-Tableau1[[#This Row],[CD93]]-Tableau1[[#This Row],[CRIF]]-Tableau1[[#This Row],[Europe]]-Tableau1[[#This Row],[Autres]]</f>
        <v>0</v>
      </c>
      <c r="BL167" s="412">
        <f>S167-T167-V167-W167-Y167-Z167-AA167-AB167-AC167-AD167-AE167-AF167-AG167-AH167-AI167-AJ167-AK167-AL167-AM167-AN167-AO167-AP167-AQ167-AR167-AS167-AT167-AU167-AV167-AW167-AY167-BE167-BF167-Tableau1[[#This Row],[Ville de Pantin ]]-Tableau1[[#This Row],[Est-Ensemble ]]-Tableau1[[#This Row],[ASGO]]</f>
        <v>0</v>
      </c>
    </row>
    <row r="168" spans="1:64" ht="20.100000000000001" customHeight="1" x14ac:dyDescent="0.25">
      <c r="A168" s="194" t="s">
        <v>550</v>
      </c>
      <c r="B168" s="194" t="s">
        <v>1010</v>
      </c>
      <c r="C168" s="14" t="s">
        <v>1341</v>
      </c>
      <c r="D168" s="194" t="s">
        <v>1008</v>
      </c>
      <c r="E168" s="194" t="s">
        <v>36</v>
      </c>
      <c r="F168" s="194"/>
      <c r="G168" s="194"/>
      <c r="H168" s="461" t="s">
        <v>1011</v>
      </c>
      <c r="I168" s="194"/>
      <c r="J168" s="194" t="s">
        <v>68</v>
      </c>
      <c r="K168" s="194"/>
      <c r="L168" s="194" t="s">
        <v>22</v>
      </c>
      <c r="M168" s="194"/>
      <c r="N168" s="194"/>
      <c r="O168" s="194"/>
      <c r="P168" s="194"/>
      <c r="Q168" s="465">
        <v>0</v>
      </c>
      <c r="R168" s="196">
        <v>0</v>
      </c>
      <c r="S168" s="196">
        <v>0</v>
      </c>
      <c r="T168" s="196">
        <v>0</v>
      </c>
      <c r="U168" s="469" t="s">
        <v>1392</v>
      </c>
      <c r="V168" s="196">
        <v>0</v>
      </c>
      <c r="W168" s="465">
        <v>0</v>
      </c>
      <c r="X168" s="196">
        <v>0</v>
      </c>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v>0</v>
      </c>
      <c r="AU168" s="196">
        <v>0</v>
      </c>
      <c r="AV168" s="465">
        <v>0</v>
      </c>
      <c r="AW168" s="196">
        <v>0</v>
      </c>
      <c r="AX168" s="196">
        <v>0</v>
      </c>
      <c r="BG168" s="8"/>
      <c r="BJ168" s="5"/>
      <c r="BK168" s="5">
        <f>Tableau1[[#This Row],[Base de financement]]-Tableau1[[#This Row],[Subvention ANRU]]-Tableau1[[#This Row],[Ville]]-Tableau1[[#This Row],[Plaine Commune]]-Tableau1[[#This Row],[Bailleurs]]-Tableau1[[#This Row],[CDC]]-Tableau1[[#This Row],[CD93]]-Tableau1[[#This Row],[CRIF]]-Tableau1[[#This Row],[Europe]]-Tableau1[[#This Row],[Autres]]</f>
        <v>0</v>
      </c>
      <c r="BL168" s="412">
        <f>S168-T168-V168-W168-Y168-Z168-AA168-AB168-AC168-AD168-AE168-AF168-AG168-AH168-AI168-AJ168-AK168-AL168-AM168-AN168-AO168-AP168-AQ168-AR168-AS168-AT168-AU168-AV168-AW168-AY168-BE168-BF168-Tableau1[[#This Row],[Ville de Pantin ]]-Tableau1[[#This Row],[Est-Ensemble ]]-Tableau1[[#This Row],[ASGO]]</f>
        <v>0</v>
      </c>
    </row>
    <row r="169" spans="1:64" ht="20.100000000000001" customHeight="1" x14ac:dyDescent="0.25">
      <c r="A169" s="194" t="s">
        <v>550</v>
      </c>
      <c r="B169" s="194" t="s">
        <v>1012</v>
      </c>
      <c r="C169" s="14" t="s">
        <v>1342</v>
      </c>
      <c r="D169" s="194" t="s">
        <v>1008</v>
      </c>
      <c r="E169" s="194" t="s">
        <v>36</v>
      </c>
      <c r="F169" s="194"/>
      <c r="G169" s="194"/>
      <c r="H169" s="461" t="s">
        <v>1013</v>
      </c>
      <c r="I169" s="194"/>
      <c r="J169" s="194" t="s">
        <v>68</v>
      </c>
      <c r="K169" s="194"/>
      <c r="L169" s="194" t="s">
        <v>22</v>
      </c>
      <c r="M169" s="194"/>
      <c r="N169" s="194"/>
      <c r="O169" s="194"/>
      <c r="P169" s="194"/>
      <c r="Q169" s="465">
        <v>0</v>
      </c>
      <c r="R169" s="196">
        <v>0</v>
      </c>
      <c r="S169" s="196">
        <v>0</v>
      </c>
      <c r="T169" s="196">
        <v>0</v>
      </c>
      <c r="U169" s="469" t="s">
        <v>1393</v>
      </c>
      <c r="V169" s="196">
        <v>0</v>
      </c>
      <c r="W169" s="465">
        <v>0</v>
      </c>
      <c r="X169" s="196">
        <v>0</v>
      </c>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v>0</v>
      </c>
      <c r="AU169" s="196">
        <v>0</v>
      </c>
      <c r="AV169" s="465">
        <v>0</v>
      </c>
      <c r="AW169" s="196">
        <v>0</v>
      </c>
      <c r="AX169" s="196">
        <v>0</v>
      </c>
      <c r="AY169" s="5">
        <v>0</v>
      </c>
      <c r="BG169" s="8"/>
      <c r="BJ169" s="5"/>
      <c r="BK169" s="5">
        <f>Tableau1[[#This Row],[Base de financement]]-Tableau1[[#This Row],[Subvention ANRU]]-Tableau1[[#This Row],[Ville]]-Tableau1[[#This Row],[Plaine Commune]]-Tableau1[[#This Row],[Bailleurs]]-Tableau1[[#This Row],[CDC]]-Tableau1[[#This Row],[CD93]]-Tableau1[[#This Row],[CRIF]]-Tableau1[[#This Row],[Europe]]-Tableau1[[#This Row],[Autres]]</f>
        <v>0</v>
      </c>
      <c r="BL169" s="412">
        <f>S169-T169-V169-W169-Y169-Z169-AA169-AB169-AC169-AD169-AE169-AF169-AG169-AH169-AI169-AJ169-AK169-AL169-AM169-AN169-AO169-AP169-AQ169-AR169-AS169-AT169-AU169-AV169-AW169-AY169-BE169-BF169-Tableau1[[#This Row],[Ville de Pantin ]]-Tableau1[[#This Row],[Est-Ensemble ]]-Tableau1[[#This Row],[ASGO]]</f>
        <v>0</v>
      </c>
    </row>
    <row r="170" spans="1:64" ht="20.100000000000001" customHeight="1" x14ac:dyDescent="0.25">
      <c r="A170" s="194" t="s">
        <v>550</v>
      </c>
      <c r="B170" s="194" t="s">
        <v>1014</v>
      </c>
      <c r="C170" s="14" t="s">
        <v>1343</v>
      </c>
      <c r="D170" s="194" t="s">
        <v>1008</v>
      </c>
      <c r="E170" s="194" t="s">
        <v>36</v>
      </c>
      <c r="F170" s="194"/>
      <c r="G170" s="194"/>
      <c r="H170" s="461" t="s">
        <v>1015</v>
      </c>
      <c r="I170" s="194"/>
      <c r="J170" s="194" t="s">
        <v>40</v>
      </c>
      <c r="K170" s="194"/>
      <c r="L170" s="194" t="s">
        <v>22</v>
      </c>
      <c r="M170" s="194"/>
      <c r="N170" s="194"/>
      <c r="O170" s="194"/>
      <c r="P170" s="194"/>
      <c r="Q170" s="465">
        <v>15000</v>
      </c>
      <c r="R170" s="196">
        <v>18000</v>
      </c>
      <c r="S170" s="196">
        <v>15000</v>
      </c>
      <c r="T170" s="196">
        <v>7500</v>
      </c>
      <c r="U170" s="469" t="s">
        <v>1004</v>
      </c>
      <c r="V170" s="196">
        <v>0</v>
      </c>
      <c r="W170" s="465">
        <v>7500</v>
      </c>
      <c r="X170" s="196">
        <v>0</v>
      </c>
      <c r="Y170" s="196"/>
      <c r="Z170" s="196"/>
      <c r="AA170" s="196"/>
      <c r="AB170" s="196"/>
      <c r="AC170" s="196"/>
      <c r="AD170" s="196"/>
      <c r="AE170" s="196"/>
      <c r="AF170" s="196"/>
      <c r="AG170" s="196"/>
      <c r="AH170" s="196"/>
      <c r="AI170" s="196"/>
      <c r="AJ170" s="196"/>
      <c r="AK170" s="196"/>
      <c r="AL170" s="196"/>
      <c r="AM170" s="196"/>
      <c r="AN170" s="196"/>
      <c r="AO170" s="196"/>
      <c r="AP170" s="196"/>
      <c r="AQ170" s="196"/>
      <c r="AR170" s="196"/>
      <c r="AS170" s="196"/>
      <c r="AT170" s="196">
        <v>0</v>
      </c>
      <c r="AU170" s="196">
        <v>0</v>
      </c>
      <c r="AV170" s="465">
        <v>0</v>
      </c>
      <c r="AW170" s="196">
        <v>0</v>
      </c>
      <c r="AX170" s="196">
        <v>0</v>
      </c>
      <c r="BG170" s="8"/>
      <c r="BJ170" s="5"/>
      <c r="BK170" s="5">
        <f>Tableau1[[#This Row],[Base de financement]]-Tableau1[[#This Row],[Subvention ANRU]]-Tableau1[[#This Row],[Ville]]-Tableau1[[#This Row],[Plaine Commune]]-Tableau1[[#This Row],[Bailleurs]]-Tableau1[[#This Row],[CDC]]-Tableau1[[#This Row],[CD93]]-Tableau1[[#This Row],[CRIF]]-Tableau1[[#This Row],[Europe]]-Tableau1[[#This Row],[Autres]]</f>
        <v>0</v>
      </c>
      <c r="BL170" s="412">
        <f>S170-T170-V170-W170-Y170-Z170-AA170-AB170-AC170-AD170-AE170-AF170-AG170-AH170-AI170-AJ170-AK170-AL170-AM170-AN170-AO170-AP170-AQ170-AR170-AS170-AT170-AU170-AV170-AW170-AY170-BE170-BF170-Tableau1[[#This Row],[Ville de Pantin ]]-Tableau1[[#This Row],[Est-Ensemble ]]-Tableau1[[#This Row],[ASGO]]</f>
        <v>0</v>
      </c>
    </row>
    <row r="171" spans="1:64" ht="20.100000000000001" hidden="1" customHeight="1" x14ac:dyDescent="0.25">
      <c r="A171" s="194" t="s">
        <v>550</v>
      </c>
      <c r="B171" s="194" t="s">
        <v>1016</v>
      </c>
      <c r="C171" s="14" t="s">
        <v>1344</v>
      </c>
      <c r="D171" s="194" t="s">
        <v>1008</v>
      </c>
      <c r="E171" s="194"/>
      <c r="F171" s="194"/>
      <c r="G171" s="194"/>
      <c r="H171" s="461" t="s">
        <v>1017</v>
      </c>
      <c r="I171" s="194"/>
      <c r="J171" s="194" t="s">
        <v>40</v>
      </c>
      <c r="K171" s="194"/>
      <c r="L171" s="194" t="s">
        <v>566</v>
      </c>
      <c r="M171" s="194"/>
      <c r="N171" s="194"/>
      <c r="O171" s="194"/>
      <c r="P171" s="194"/>
      <c r="Q171" s="465">
        <v>80000</v>
      </c>
      <c r="R171" s="196">
        <v>96000</v>
      </c>
      <c r="S171" s="196">
        <v>80000</v>
      </c>
      <c r="T171" s="196">
        <v>40000</v>
      </c>
      <c r="U171" s="469" t="s">
        <v>1004</v>
      </c>
      <c r="V171" s="196">
        <v>40000</v>
      </c>
      <c r="W171" s="465">
        <v>0</v>
      </c>
      <c r="X171" s="196">
        <v>0</v>
      </c>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v>0</v>
      </c>
      <c r="AU171" s="196">
        <v>0</v>
      </c>
      <c r="AV171" s="465">
        <v>0</v>
      </c>
      <c r="AW171" s="196">
        <v>0</v>
      </c>
      <c r="AX171" s="196">
        <v>0</v>
      </c>
      <c r="BG171" s="8"/>
      <c r="BJ171" s="5"/>
      <c r="BK171" s="5">
        <f>Tableau1[[#This Row],[Base de financement]]-Tableau1[[#This Row],[Subvention ANRU]]-Tableau1[[#This Row],[Ville]]-Tableau1[[#This Row],[Plaine Commune]]-Tableau1[[#This Row],[Bailleurs]]-Tableau1[[#This Row],[CDC]]-Tableau1[[#This Row],[CD93]]-Tableau1[[#This Row],[CRIF]]-Tableau1[[#This Row],[Europe]]-Tableau1[[#This Row],[Autres]]</f>
        <v>0</v>
      </c>
      <c r="BL171" s="412">
        <f>S171-T171-V171-W171-Y171-Z171-AA171-AB171-AC171-AD171-AE171-AF171-AG171-AH171-AI171-AJ171-AK171-AL171-AM171-AN171-AO171-AP171-AQ171-AR171-AS171-AT171-AU171-AV171-AW171-AY171-BE171-BF171-Tableau1[[#This Row],[Ville de Pantin ]]-Tableau1[[#This Row],[Est-Ensemble ]]-Tableau1[[#This Row],[ASGO]]</f>
        <v>0</v>
      </c>
    </row>
    <row r="172" spans="1:64" ht="20.100000000000001" hidden="1" customHeight="1" x14ac:dyDescent="0.25">
      <c r="A172" s="264" t="s">
        <v>550</v>
      </c>
      <c r="B172" s="264" t="s">
        <v>568</v>
      </c>
      <c r="C172" s="14" t="s">
        <v>1375</v>
      </c>
      <c r="D172" s="264" t="s">
        <v>1339</v>
      </c>
      <c r="E172" s="264"/>
      <c r="F172" s="264" t="s">
        <v>562</v>
      </c>
      <c r="G172" s="264"/>
      <c r="H172" s="460" t="s">
        <v>349</v>
      </c>
      <c r="I172" s="264"/>
      <c r="J172" s="264" t="s">
        <v>53</v>
      </c>
      <c r="K172" s="264" t="s">
        <v>69</v>
      </c>
      <c r="L172" s="264" t="s">
        <v>569</v>
      </c>
      <c r="M172" s="264"/>
      <c r="N172" s="264"/>
      <c r="O172" s="264" t="s">
        <v>42</v>
      </c>
      <c r="P172" s="264" t="s">
        <v>570</v>
      </c>
      <c r="Q172" s="405">
        <v>25000</v>
      </c>
      <c r="R172" s="265">
        <v>30000</v>
      </c>
      <c r="S172" s="265">
        <v>25000</v>
      </c>
      <c r="T172" s="265">
        <v>0</v>
      </c>
      <c r="U172" s="265" t="s">
        <v>571</v>
      </c>
      <c r="V172" s="265">
        <v>0</v>
      </c>
      <c r="W172" s="265">
        <v>12500</v>
      </c>
      <c r="X172" s="265">
        <v>0</v>
      </c>
      <c r="Y172" s="265"/>
      <c r="Z172" s="265"/>
      <c r="AA172" s="265"/>
      <c r="AB172" s="265"/>
      <c r="AC172" s="265"/>
      <c r="AD172" s="265"/>
      <c r="AE172" s="265"/>
      <c r="AF172" s="265"/>
      <c r="AG172" s="265"/>
      <c r="AH172" s="265"/>
      <c r="AI172" s="265"/>
      <c r="AJ172" s="265"/>
      <c r="AK172" s="265"/>
      <c r="AL172" s="265"/>
      <c r="AM172" s="265"/>
      <c r="AN172" s="265"/>
      <c r="AO172" s="265"/>
      <c r="AP172" s="265"/>
      <c r="AQ172" s="265"/>
      <c r="AR172" s="265"/>
      <c r="AS172" s="265"/>
      <c r="AT172" s="265">
        <v>12500</v>
      </c>
      <c r="AU172" s="265">
        <v>0</v>
      </c>
      <c r="AV172" s="265">
        <v>0</v>
      </c>
      <c r="AW172" s="265">
        <v>0</v>
      </c>
      <c r="AX172" s="265">
        <v>0</v>
      </c>
      <c r="BG172" s="8">
        <v>42445</v>
      </c>
      <c r="BH172" s="5">
        <v>3</v>
      </c>
      <c r="BI172" s="5">
        <v>0</v>
      </c>
      <c r="BJ172" s="5">
        <v>0</v>
      </c>
      <c r="BK172" s="5">
        <f>Tableau1[[#This Row],[Base de financement]]-Tableau1[[#This Row],[Subvention ANRU]]-Tableau1[[#This Row],[Ville]]-Tableau1[[#This Row],[Plaine Commune]]-Tableau1[[#This Row],[Bailleurs]]-Tableau1[[#This Row],[CDC]]-Tableau1[[#This Row],[CD93]]-Tableau1[[#This Row],[CRIF]]-Tableau1[[#This Row],[Europe]]-Tableau1[[#This Row],[Autres]]</f>
        <v>0</v>
      </c>
      <c r="BL172" s="412">
        <f>S172-T172-V172-W172-Y172-Z172-AA172-AB172-AC172-AD172-AE172-AF172-AG172-AH172-AI172-AJ172-AK172-AL172-AM172-AN172-AO172-AP172-AQ172-AR172-AS172-AT172-AU172-AV172-AW172-AY172-BE172-BF172-Tableau1[[#This Row],[Ville de Pantin ]]-Tableau1[[#This Row],[Est-Ensemble ]]-Tableau1[[#This Row],[ASGO]]</f>
        <v>0</v>
      </c>
    </row>
    <row r="173" spans="1:64" ht="20.100000000000001" customHeight="1" x14ac:dyDescent="0.25">
      <c r="A173" s="264" t="s">
        <v>550</v>
      </c>
      <c r="B173" s="264" t="s">
        <v>572</v>
      </c>
      <c r="C173" s="14" t="s">
        <v>1376</v>
      </c>
      <c r="D173" s="264" t="s">
        <v>1339</v>
      </c>
      <c r="E173" s="264" t="s">
        <v>260</v>
      </c>
      <c r="F173" s="264" t="s">
        <v>562</v>
      </c>
      <c r="G173" s="264"/>
      <c r="H173" s="460" t="s">
        <v>573</v>
      </c>
      <c r="I173" s="264" t="s">
        <v>574</v>
      </c>
      <c r="J173" s="264" t="s">
        <v>53</v>
      </c>
      <c r="K173" s="264" t="s">
        <v>69</v>
      </c>
      <c r="L173" s="264" t="s">
        <v>22</v>
      </c>
      <c r="M173" s="264"/>
      <c r="N173" s="264"/>
      <c r="O173" s="264" t="s">
        <v>42</v>
      </c>
      <c r="P173" s="264" t="s">
        <v>575</v>
      </c>
      <c r="Q173" s="405">
        <v>25000</v>
      </c>
      <c r="R173" s="265">
        <v>30000</v>
      </c>
      <c r="S173" s="265">
        <v>25000</v>
      </c>
      <c r="T173" s="265">
        <v>12500</v>
      </c>
      <c r="U173" s="265" t="s">
        <v>571</v>
      </c>
      <c r="V173" s="265">
        <v>0</v>
      </c>
      <c r="W173" s="265">
        <v>12500</v>
      </c>
      <c r="X173" s="265">
        <v>0</v>
      </c>
      <c r="Y173" s="265"/>
      <c r="Z173" s="265"/>
      <c r="AA173" s="265"/>
      <c r="AB173" s="265"/>
      <c r="AC173" s="265"/>
      <c r="AD173" s="265"/>
      <c r="AE173" s="265"/>
      <c r="AF173" s="265"/>
      <c r="AG173" s="265"/>
      <c r="AH173" s="265"/>
      <c r="AI173" s="265"/>
      <c r="AJ173" s="265"/>
      <c r="AK173" s="265"/>
      <c r="AL173" s="265"/>
      <c r="AM173" s="265"/>
      <c r="AN173" s="265"/>
      <c r="AO173" s="265"/>
      <c r="AP173" s="265"/>
      <c r="AQ173" s="265"/>
      <c r="AR173" s="265"/>
      <c r="AS173" s="265"/>
      <c r="AT173" s="265">
        <v>0</v>
      </c>
      <c r="AU173" s="265">
        <v>0</v>
      </c>
      <c r="AV173" s="265">
        <v>0</v>
      </c>
      <c r="AW173" s="265">
        <v>0</v>
      </c>
      <c r="AX173" s="265">
        <v>0</v>
      </c>
      <c r="BG173" s="8">
        <v>42445</v>
      </c>
      <c r="BH173" s="5">
        <v>3</v>
      </c>
      <c r="BI173" s="5">
        <v>0</v>
      </c>
      <c r="BJ173" s="5">
        <v>0</v>
      </c>
      <c r="BK173" s="5">
        <f>Tableau1[[#This Row],[Base de financement]]-Tableau1[[#This Row],[Subvention ANRU]]-Tableau1[[#This Row],[Ville]]-Tableau1[[#This Row],[Plaine Commune]]-Tableau1[[#This Row],[Bailleurs]]-Tableau1[[#This Row],[CDC]]-Tableau1[[#This Row],[CD93]]-Tableau1[[#This Row],[CRIF]]-Tableau1[[#This Row],[Europe]]-Tableau1[[#This Row],[Autres]]</f>
        <v>0</v>
      </c>
      <c r="BL173" s="412">
        <f>S173-T173-V173-W173-Y173-Z173-AA173-AB173-AC173-AD173-AE173-AF173-AG173-AH173-AI173-AJ173-AK173-AL173-AM173-AN173-AO173-AP173-AQ173-AR173-AS173-AT173-AU173-AV173-AW173-AY173-BE173-BF173-Tableau1[[#This Row],[Ville de Pantin ]]-Tableau1[[#This Row],[Est-Ensemble ]]-Tableau1[[#This Row],[ASGO]]</f>
        <v>0</v>
      </c>
    </row>
    <row r="174" spans="1:64" ht="20.100000000000001" hidden="1" customHeight="1" x14ac:dyDescent="0.25">
      <c r="A174" s="5" t="s">
        <v>238</v>
      </c>
      <c r="B174" s="5" t="s">
        <v>604</v>
      </c>
      <c r="C174" s="14" t="s">
        <v>1287</v>
      </c>
      <c r="D174" s="5" t="s">
        <v>240</v>
      </c>
      <c r="F174" s="5" t="s">
        <v>241</v>
      </c>
      <c r="H174" s="404" t="s">
        <v>605</v>
      </c>
      <c r="J174" s="5" t="s">
        <v>40</v>
      </c>
      <c r="K174" s="5" t="s">
        <v>47</v>
      </c>
      <c r="L174" s="5" t="s">
        <v>606</v>
      </c>
      <c r="O174" s="5" t="s">
        <v>42</v>
      </c>
      <c r="P174" s="5" t="s">
        <v>607</v>
      </c>
      <c r="Q174" s="227">
        <v>49500</v>
      </c>
      <c r="R174" s="7">
        <v>59400</v>
      </c>
      <c r="S174" s="7">
        <v>49500</v>
      </c>
      <c r="T174" s="7">
        <v>0</v>
      </c>
      <c r="U174" s="7"/>
      <c r="V174" s="7">
        <v>12375</v>
      </c>
      <c r="W174" s="7">
        <v>0</v>
      </c>
      <c r="X174" s="7">
        <v>0</v>
      </c>
      <c r="Y174" s="7"/>
      <c r="Z174" s="7"/>
      <c r="AA174" s="7"/>
      <c r="AB174" s="7"/>
      <c r="AC174" s="7"/>
      <c r="AD174" s="7"/>
      <c r="AE174" s="7"/>
      <c r="AF174" s="7"/>
      <c r="AG174" s="7"/>
      <c r="AH174" s="7"/>
      <c r="AI174" s="7"/>
      <c r="AJ174" s="7"/>
      <c r="AK174" s="7"/>
      <c r="AL174" s="7"/>
      <c r="AM174" s="7"/>
      <c r="AN174" s="7"/>
      <c r="AO174" s="7"/>
      <c r="AP174" s="7"/>
      <c r="AQ174" s="7"/>
      <c r="AR174" s="7"/>
      <c r="AS174" s="7"/>
      <c r="AT174" s="7">
        <v>12375</v>
      </c>
      <c r="AU174" s="7">
        <v>24750</v>
      </c>
      <c r="AV174" s="7">
        <v>0</v>
      </c>
      <c r="AW174" s="7">
        <v>0</v>
      </c>
      <c r="AX174" s="7">
        <v>0</v>
      </c>
      <c r="BG174" s="8">
        <v>42430</v>
      </c>
      <c r="BH174" s="5">
        <v>18</v>
      </c>
      <c r="BJ174" s="5">
        <v>0</v>
      </c>
      <c r="BK174" s="5">
        <f>Tableau1[[#This Row],[Base de financement]]-Tableau1[[#This Row],[Subvention ANRU]]-Tableau1[[#This Row],[Ville]]-Tableau1[[#This Row],[Plaine Commune]]-Tableau1[[#This Row],[Bailleurs]]-Tableau1[[#This Row],[CDC]]-Tableau1[[#This Row],[CD93]]-Tableau1[[#This Row],[CRIF]]-Tableau1[[#This Row],[Europe]]-Tableau1[[#This Row],[Autres]]</f>
        <v>0</v>
      </c>
      <c r="BL174" s="412">
        <f>S174-T174-V174-W174-Y174-Z174-AA174-AB174-AC174-AD174-AE174-AF174-AG174-AH174-AI174-AJ174-AK174-AL174-AM174-AN174-AO174-AP174-AQ174-AR174-AS174-AT174-AU174-AV174-AW174-AY174-BE174-BF174-Tableau1[[#This Row],[Ville de Pantin ]]-Tableau1[[#This Row],[Est-Ensemble ]]-Tableau1[[#This Row],[ASGO]]</f>
        <v>0</v>
      </c>
    </row>
    <row r="175" spans="1:64" ht="20.100000000000001" customHeight="1" x14ac:dyDescent="0.25">
      <c r="A175" s="5" t="s">
        <v>238</v>
      </c>
      <c r="B175" s="5" t="s">
        <v>608</v>
      </c>
      <c r="C175" s="14" t="s">
        <v>1288</v>
      </c>
      <c r="D175" s="5" t="s">
        <v>240</v>
      </c>
      <c r="E175" s="5" t="s">
        <v>609</v>
      </c>
      <c r="F175" s="5" t="s">
        <v>241</v>
      </c>
      <c r="G175" s="5" t="s">
        <v>610</v>
      </c>
      <c r="H175" s="404" t="s">
        <v>611</v>
      </c>
      <c r="I175" s="5" t="s">
        <v>1386</v>
      </c>
      <c r="J175" s="5" t="s">
        <v>40</v>
      </c>
      <c r="K175" s="5" t="s">
        <v>47</v>
      </c>
      <c r="L175" s="5" t="s">
        <v>22</v>
      </c>
      <c r="O175" s="5" t="s">
        <v>42</v>
      </c>
      <c r="P175" s="5" t="s">
        <v>612</v>
      </c>
      <c r="Q175" s="227">
        <v>25000</v>
      </c>
      <c r="R175" s="7">
        <v>30000</v>
      </c>
      <c r="S175" s="7">
        <v>25000</v>
      </c>
      <c r="T175" s="7">
        <v>10000</v>
      </c>
      <c r="U175" s="7"/>
      <c r="V175" s="7">
        <v>0</v>
      </c>
      <c r="W175" s="7">
        <v>12500</v>
      </c>
      <c r="X175" s="7">
        <v>0</v>
      </c>
      <c r="Y175" s="7"/>
      <c r="Z175" s="7"/>
      <c r="AA175" s="7"/>
      <c r="AB175" s="7"/>
      <c r="AC175" s="7"/>
      <c r="AD175" s="7"/>
      <c r="AE175" s="7"/>
      <c r="AF175" s="7"/>
      <c r="AG175" s="7"/>
      <c r="AH175" s="7"/>
      <c r="AI175" s="7"/>
      <c r="AJ175" s="7"/>
      <c r="AK175" s="7"/>
      <c r="AL175" s="7"/>
      <c r="AM175" s="7"/>
      <c r="AN175" s="7"/>
      <c r="AO175" s="7"/>
      <c r="AP175" s="7"/>
      <c r="AQ175" s="7"/>
      <c r="AR175" s="7"/>
      <c r="AS175" s="7"/>
      <c r="AT175" s="7">
        <v>2500</v>
      </c>
      <c r="AU175" s="7">
        <v>0</v>
      </c>
      <c r="AV175" s="7">
        <v>0</v>
      </c>
      <c r="AW175" s="7">
        <v>0</v>
      </c>
      <c r="AX175" s="7">
        <v>0</v>
      </c>
      <c r="BG175" s="8">
        <v>42491</v>
      </c>
      <c r="BH175" s="5">
        <v>6</v>
      </c>
      <c r="BI175" s="5">
        <v>0</v>
      </c>
      <c r="BJ175" s="5">
        <v>0</v>
      </c>
      <c r="BK175" s="5">
        <f>Tableau1[[#This Row],[Base de financement]]-Tableau1[[#This Row],[Subvention ANRU]]-Tableau1[[#This Row],[Ville]]-Tableau1[[#This Row],[Plaine Commune]]-Tableau1[[#This Row],[Bailleurs]]-Tableau1[[#This Row],[CDC]]-Tableau1[[#This Row],[CD93]]-Tableau1[[#This Row],[CRIF]]-Tableau1[[#This Row],[Europe]]-Tableau1[[#This Row],[Autres]]</f>
        <v>0</v>
      </c>
      <c r="BL175" s="412">
        <f>S175-T175-V175-W175-Y175-Z175-AA175-AB175-AC175-AD175-AE175-AF175-AG175-AH175-AI175-AJ175-AK175-AL175-AM175-AN175-AO175-AP175-AQ175-AR175-AS175-AT175-AU175-AV175-AW175-AY175-BE175-BF175-Tableau1[[#This Row],[Ville de Pantin ]]-Tableau1[[#This Row],[Est-Ensemble ]]-Tableau1[[#This Row],[ASGO]]</f>
        <v>0</v>
      </c>
    </row>
    <row r="176" spans="1:64" ht="20.100000000000001" customHeight="1" x14ac:dyDescent="0.25">
      <c r="A176" s="5" t="s">
        <v>238</v>
      </c>
      <c r="B176" s="5" t="s">
        <v>635</v>
      </c>
      <c r="C176" s="14" t="s">
        <v>1288</v>
      </c>
      <c r="D176" s="5" t="s">
        <v>240</v>
      </c>
      <c r="E176" s="5" t="s">
        <v>609</v>
      </c>
      <c r="F176" s="5" t="s">
        <v>241</v>
      </c>
      <c r="G176" s="5" t="s">
        <v>610</v>
      </c>
      <c r="H176" s="404" t="s">
        <v>1385</v>
      </c>
      <c r="I176" s="5" t="s">
        <v>1386</v>
      </c>
      <c r="J176" s="5" t="s">
        <v>128</v>
      </c>
      <c r="K176" s="5" t="s">
        <v>41</v>
      </c>
      <c r="L176" s="5" t="s">
        <v>22</v>
      </c>
      <c r="O176" s="5" t="s">
        <v>42</v>
      </c>
      <c r="P176" s="5" t="s">
        <v>636</v>
      </c>
      <c r="Q176" s="227">
        <v>60000</v>
      </c>
      <c r="R176" s="7">
        <v>72000</v>
      </c>
      <c r="S176" s="7">
        <v>60000</v>
      </c>
      <c r="T176" s="7">
        <v>19800</v>
      </c>
      <c r="U176" s="7"/>
      <c r="V176" s="7">
        <v>0</v>
      </c>
      <c r="W176" s="7">
        <v>10200</v>
      </c>
      <c r="X176" s="7">
        <v>0</v>
      </c>
      <c r="Y176" s="7"/>
      <c r="Z176" s="7"/>
      <c r="AA176" s="7"/>
      <c r="AB176" s="7"/>
      <c r="AC176" s="7"/>
      <c r="AD176" s="7"/>
      <c r="AE176" s="7"/>
      <c r="AF176" s="7"/>
      <c r="AG176" s="7"/>
      <c r="AH176" s="7"/>
      <c r="AI176" s="7"/>
      <c r="AJ176" s="7"/>
      <c r="AK176" s="7"/>
      <c r="AL176" s="7"/>
      <c r="AM176" s="7"/>
      <c r="AN176" s="7"/>
      <c r="AO176" s="7"/>
      <c r="AP176" s="7"/>
      <c r="AQ176" s="7"/>
      <c r="AR176" s="7"/>
      <c r="AS176" s="7"/>
      <c r="AT176" s="7">
        <v>10200</v>
      </c>
      <c r="AU176" s="7">
        <v>0</v>
      </c>
      <c r="AV176" s="7">
        <v>0</v>
      </c>
      <c r="AW176" s="7">
        <v>19800</v>
      </c>
      <c r="AX176" s="7">
        <v>0</v>
      </c>
      <c r="BG176" s="8">
        <v>42445</v>
      </c>
      <c r="BH176" s="5">
        <v>24</v>
      </c>
      <c r="BI176" s="5">
        <v>0</v>
      </c>
      <c r="BJ176" s="5">
        <v>0</v>
      </c>
      <c r="BK176" s="5">
        <f>Tableau1[[#This Row],[Base de financement]]-Tableau1[[#This Row],[Subvention ANRU]]-Tableau1[[#This Row],[Ville]]-Tableau1[[#This Row],[Plaine Commune]]-Tableau1[[#This Row],[Bailleurs]]-Tableau1[[#This Row],[CDC]]-Tableau1[[#This Row],[CD93]]-Tableau1[[#This Row],[CRIF]]-Tableau1[[#This Row],[Europe]]-Tableau1[[#This Row],[Autres]]</f>
        <v>0</v>
      </c>
      <c r="BL176" s="412">
        <f>S176-T176-V176-W176-Y176-Z176-AA176-AB176-AC176-AD176-AE176-AF176-AG176-AH176-AI176-AJ176-AK176-AL176-AM176-AN176-AO176-AP176-AQ176-AR176-AS176-AT176-AU176-AV176-AW176-AY176-BE176-BF176-Tableau1[[#This Row],[Ville de Pantin ]]-Tableau1[[#This Row],[Est-Ensemble ]]-Tableau1[[#This Row],[ASGO]]</f>
        <v>0</v>
      </c>
    </row>
    <row r="177" spans="1:64" ht="20.100000000000001" hidden="1" customHeight="1" x14ac:dyDescent="0.25">
      <c r="A177" s="5" t="s">
        <v>238</v>
      </c>
      <c r="B177" s="5" t="s">
        <v>613</v>
      </c>
      <c r="C177" s="14" t="s">
        <v>1289</v>
      </c>
      <c r="D177" s="5" t="s">
        <v>240</v>
      </c>
      <c r="F177" s="5" t="s">
        <v>241</v>
      </c>
      <c r="H177" s="404" t="s">
        <v>614</v>
      </c>
      <c r="J177" s="5" t="s">
        <v>53</v>
      </c>
      <c r="K177" s="5" t="s">
        <v>47</v>
      </c>
      <c r="L177" s="5" t="s">
        <v>606</v>
      </c>
      <c r="O177" s="5" t="s">
        <v>42</v>
      </c>
      <c r="P177" s="5" t="s">
        <v>615</v>
      </c>
      <c r="Q177" s="227">
        <v>20000</v>
      </c>
      <c r="R177" s="7">
        <v>24000</v>
      </c>
      <c r="S177" s="7">
        <v>20000</v>
      </c>
      <c r="T177" s="7">
        <v>10000</v>
      </c>
      <c r="U177" s="7"/>
      <c r="V177" s="7">
        <v>10000</v>
      </c>
      <c r="W177" s="7">
        <v>0</v>
      </c>
      <c r="X177" s="7">
        <v>0</v>
      </c>
      <c r="Y177" s="7"/>
      <c r="Z177" s="7"/>
      <c r="AA177" s="7"/>
      <c r="AB177" s="7"/>
      <c r="AC177" s="7"/>
      <c r="AD177" s="7"/>
      <c r="AE177" s="7"/>
      <c r="AF177" s="7"/>
      <c r="AG177" s="7"/>
      <c r="AH177" s="7"/>
      <c r="AI177" s="7"/>
      <c r="AJ177" s="7"/>
      <c r="AK177" s="7"/>
      <c r="AL177" s="7"/>
      <c r="AM177" s="7"/>
      <c r="AN177" s="7"/>
      <c r="AO177" s="7"/>
      <c r="AP177" s="7"/>
      <c r="AQ177" s="7"/>
      <c r="AR177" s="7"/>
      <c r="AS177" s="7"/>
      <c r="AT177" s="7">
        <v>0</v>
      </c>
      <c r="AU177" s="7">
        <v>0</v>
      </c>
      <c r="AV177" s="7">
        <v>0</v>
      </c>
      <c r="AW177" s="7">
        <v>0</v>
      </c>
      <c r="AX177" s="7">
        <v>0</v>
      </c>
      <c r="BG177" s="8">
        <v>42445</v>
      </c>
      <c r="BH177" s="5">
        <v>6</v>
      </c>
      <c r="BI177" s="5">
        <v>0</v>
      </c>
      <c r="BJ177" s="5">
        <v>0</v>
      </c>
      <c r="BK177" s="5">
        <f>Tableau1[[#This Row],[Base de financement]]-Tableau1[[#This Row],[Subvention ANRU]]-Tableau1[[#This Row],[Ville]]-Tableau1[[#This Row],[Plaine Commune]]-Tableau1[[#This Row],[Bailleurs]]-Tableau1[[#This Row],[CDC]]-Tableau1[[#This Row],[CD93]]-Tableau1[[#This Row],[CRIF]]-Tableau1[[#This Row],[Europe]]-Tableau1[[#This Row],[Autres]]</f>
        <v>0</v>
      </c>
      <c r="BL177" s="412">
        <f>S177-T177-V177-W177-Y177-Z177-AA177-AB177-AC177-AD177-AE177-AF177-AG177-AH177-AI177-AJ177-AK177-AL177-AM177-AN177-AO177-AP177-AQ177-AR177-AS177-AT177-AU177-AV177-AW177-AY177-BE177-BF177-Tableau1[[#This Row],[Ville de Pantin ]]-Tableau1[[#This Row],[Est-Ensemble ]]-Tableau1[[#This Row],[ASGO]]</f>
        <v>0</v>
      </c>
    </row>
    <row r="178" spans="1:64" ht="20.100000000000001" customHeight="1" x14ac:dyDescent="0.25">
      <c r="A178" s="5" t="s">
        <v>238</v>
      </c>
      <c r="B178" s="5" t="s">
        <v>640</v>
      </c>
      <c r="C178" s="14" t="s">
        <v>1290</v>
      </c>
      <c r="D178" s="5" t="s">
        <v>240</v>
      </c>
      <c r="E178" s="5" t="s">
        <v>36</v>
      </c>
      <c r="F178" s="5" t="s">
        <v>241</v>
      </c>
      <c r="G178" s="5" t="s">
        <v>640</v>
      </c>
      <c r="H178" s="404" t="s">
        <v>641</v>
      </c>
      <c r="I178" s="5" t="s">
        <v>642</v>
      </c>
      <c r="J178" s="5" t="s">
        <v>113</v>
      </c>
      <c r="K178" s="5" t="s">
        <v>41</v>
      </c>
      <c r="L178" s="5" t="s">
        <v>22</v>
      </c>
      <c r="O178" s="5" t="s">
        <v>42</v>
      </c>
      <c r="P178" s="5" t="s">
        <v>643</v>
      </c>
      <c r="Q178" s="227">
        <v>25000</v>
      </c>
      <c r="R178" s="13">
        <f>25000*1.2</f>
        <v>30000</v>
      </c>
      <c r="S178" s="13">
        <v>25000</v>
      </c>
      <c r="T178" s="7">
        <v>0</v>
      </c>
      <c r="U178" s="7" t="s">
        <v>644</v>
      </c>
      <c r="V178" s="7">
        <v>0</v>
      </c>
      <c r="W178" s="7">
        <v>5000</v>
      </c>
      <c r="X178" s="7">
        <v>0</v>
      </c>
      <c r="Y178" s="7"/>
      <c r="Z178" s="7"/>
      <c r="AA178" s="7"/>
      <c r="AB178" s="7"/>
      <c r="AC178" s="7"/>
      <c r="AD178" s="7"/>
      <c r="AE178" s="7"/>
      <c r="AF178" s="7"/>
      <c r="AG178" s="7"/>
      <c r="AH178" s="7"/>
      <c r="AI178" s="7"/>
      <c r="AJ178" s="7"/>
      <c r="AK178" s="7"/>
      <c r="AL178" s="7"/>
      <c r="AM178" s="7"/>
      <c r="AN178" s="7"/>
      <c r="AO178" s="7"/>
      <c r="AP178" s="7"/>
      <c r="AQ178" s="7"/>
      <c r="AR178" s="7"/>
      <c r="AS178" s="7"/>
      <c r="AT178" s="7">
        <v>0</v>
      </c>
      <c r="AU178" s="7">
        <v>0</v>
      </c>
      <c r="AV178" s="7">
        <v>0</v>
      </c>
      <c r="AW178" s="7">
        <v>0</v>
      </c>
      <c r="AX178" s="13">
        <v>20000</v>
      </c>
      <c r="BF178" s="14">
        <v>20000</v>
      </c>
      <c r="BG178" s="8">
        <v>42445</v>
      </c>
      <c r="BH178" s="5">
        <v>24</v>
      </c>
      <c r="BI178" s="5">
        <v>0</v>
      </c>
      <c r="BJ178" s="5">
        <v>0</v>
      </c>
      <c r="BK178" s="5">
        <f>Tableau1[[#This Row],[Base de financement]]-Tableau1[[#This Row],[Subvention ANRU]]-Tableau1[[#This Row],[Ville]]-Tableau1[[#This Row],[Plaine Commune]]-Tableau1[[#This Row],[Bailleurs]]-Tableau1[[#This Row],[CDC]]-Tableau1[[#This Row],[CD93]]-Tableau1[[#This Row],[CRIF]]-Tableau1[[#This Row],[Europe]]-Tableau1[[#This Row],[Autres]]</f>
        <v>0</v>
      </c>
      <c r="BL178" s="412">
        <f>S178-T178-V178-W178-Y178-Z178-AA178-AB178-AC178-AD178-AE178-AF178-AG178-AH178-AI178-AJ178-AK178-AL178-AM178-AN178-AO178-AP178-AQ178-AR178-AS178-AT178-AU178-AV178-AW178-AY178-BE178-BF178-Tableau1[[#This Row],[Ville de Pantin ]]-Tableau1[[#This Row],[Est-Ensemble ]]-Tableau1[[#This Row],[ASGO]]</f>
        <v>0</v>
      </c>
    </row>
    <row r="179" spans="1:64" ht="20.100000000000001" hidden="1" customHeight="1" x14ac:dyDescent="0.25">
      <c r="A179" s="5" t="s">
        <v>238</v>
      </c>
      <c r="B179" s="5" t="s">
        <v>621</v>
      </c>
      <c r="C179" s="14" t="s">
        <v>1293</v>
      </c>
      <c r="D179" s="5" t="s">
        <v>240</v>
      </c>
      <c r="F179" s="5" t="s">
        <v>241</v>
      </c>
      <c r="H179" s="404" t="s">
        <v>622</v>
      </c>
      <c r="J179" s="5" t="s">
        <v>53</v>
      </c>
      <c r="K179" s="5" t="s">
        <v>61</v>
      </c>
      <c r="L179" s="5" t="s">
        <v>623</v>
      </c>
      <c r="O179" s="5" t="s">
        <v>42</v>
      </c>
      <c r="P179" s="5" t="s">
        <v>624</v>
      </c>
      <c r="Q179" s="227">
        <v>0</v>
      </c>
      <c r="R179" s="7">
        <v>0</v>
      </c>
      <c r="S179" s="7">
        <v>0</v>
      </c>
      <c r="T179" s="7">
        <v>0</v>
      </c>
      <c r="U179" s="7" t="s">
        <v>625</v>
      </c>
      <c r="V179" s="7">
        <v>0</v>
      </c>
      <c r="W179" s="7">
        <v>0</v>
      </c>
      <c r="X179" s="7">
        <v>0</v>
      </c>
      <c r="Y179" s="7"/>
      <c r="Z179" s="7"/>
      <c r="AA179" s="7"/>
      <c r="AB179" s="7"/>
      <c r="AC179" s="7"/>
      <c r="AD179" s="7"/>
      <c r="AE179" s="7"/>
      <c r="AF179" s="7"/>
      <c r="AG179" s="7"/>
      <c r="AH179" s="7"/>
      <c r="AI179" s="7"/>
      <c r="AJ179" s="7"/>
      <c r="AK179" s="7"/>
      <c r="AL179" s="7"/>
      <c r="AM179" s="7"/>
      <c r="AN179" s="7"/>
      <c r="AO179" s="7"/>
      <c r="AP179" s="7"/>
      <c r="AQ179" s="7"/>
      <c r="AR179" s="7"/>
      <c r="AS179" s="7"/>
      <c r="AT179" s="7">
        <v>0</v>
      </c>
      <c r="AU179" s="7">
        <v>0</v>
      </c>
      <c r="AV179" s="7">
        <v>0</v>
      </c>
      <c r="AW179" s="7">
        <v>0</v>
      </c>
      <c r="AX179" s="7">
        <v>0</v>
      </c>
      <c r="BG179" s="8">
        <v>42522</v>
      </c>
      <c r="BH179" s="5">
        <v>6</v>
      </c>
      <c r="BI179" s="5">
        <v>0</v>
      </c>
      <c r="BJ179" s="5">
        <v>0</v>
      </c>
      <c r="BK179" s="5">
        <f>Tableau1[[#This Row],[Base de financement]]-Tableau1[[#This Row],[Subvention ANRU]]-Tableau1[[#This Row],[Ville]]-Tableau1[[#This Row],[Plaine Commune]]-Tableau1[[#This Row],[Bailleurs]]-Tableau1[[#This Row],[CDC]]-Tableau1[[#This Row],[CD93]]-Tableau1[[#This Row],[CRIF]]-Tableau1[[#This Row],[Europe]]-Tableau1[[#This Row],[Autres]]</f>
        <v>0</v>
      </c>
      <c r="BL179" s="412">
        <f>S179-T179-V179-W179-Y179-Z179-AA179-AB179-AC179-AD179-AE179-AF179-AG179-AH179-AI179-AJ179-AK179-AL179-AM179-AN179-AO179-AP179-AQ179-AR179-AS179-AT179-AU179-AV179-AW179-AY179-BE179-BF179-Tableau1[[#This Row],[Ville de Pantin ]]-Tableau1[[#This Row],[Est-Ensemble ]]-Tableau1[[#This Row],[ASGO]]</f>
        <v>0</v>
      </c>
    </row>
    <row r="180" spans="1:64" ht="20.100000000000001" hidden="1" customHeight="1" x14ac:dyDescent="0.25">
      <c r="A180" s="5" t="s">
        <v>238</v>
      </c>
      <c r="B180" s="5" t="s">
        <v>626</v>
      </c>
      <c r="C180" s="14" t="s">
        <v>1294</v>
      </c>
      <c r="D180" s="5" t="s">
        <v>240</v>
      </c>
      <c r="F180" s="5" t="s">
        <v>241</v>
      </c>
      <c r="H180" s="404" t="s">
        <v>627</v>
      </c>
      <c r="J180" s="5" t="s">
        <v>53</v>
      </c>
      <c r="K180" s="5" t="s">
        <v>69</v>
      </c>
      <c r="L180" s="5" t="s">
        <v>243</v>
      </c>
      <c r="O180" s="5" t="s">
        <v>42</v>
      </c>
      <c r="P180" s="5" t="s">
        <v>628</v>
      </c>
      <c r="Q180" s="227">
        <v>131683</v>
      </c>
      <c r="R180" s="7">
        <v>158019.6</v>
      </c>
      <c r="S180" s="7">
        <v>131683</v>
      </c>
      <c r="T180" s="7">
        <v>65841.5</v>
      </c>
      <c r="U180" s="7"/>
      <c r="V180" s="7">
        <v>0</v>
      </c>
      <c r="W180" s="7">
        <v>0</v>
      </c>
      <c r="X180" s="7">
        <v>65841.5</v>
      </c>
      <c r="Y180" s="7"/>
      <c r="Z180" s="7"/>
      <c r="AA180" s="7"/>
      <c r="AB180" s="7"/>
      <c r="AC180" s="7"/>
      <c r="AD180" s="7"/>
      <c r="AE180" s="7"/>
      <c r="AF180" s="7"/>
      <c r="AG180" s="7">
        <v>65842</v>
      </c>
      <c r="AH180" s="7"/>
      <c r="AI180" s="7"/>
      <c r="AJ180" s="7"/>
      <c r="AK180" s="7"/>
      <c r="AL180" s="7"/>
      <c r="AM180" s="7"/>
      <c r="AN180" s="7"/>
      <c r="AO180" s="7"/>
      <c r="AP180" s="7"/>
      <c r="AQ180" s="7"/>
      <c r="AR180" s="7"/>
      <c r="AS180" s="7"/>
      <c r="AT180" s="7">
        <v>0</v>
      </c>
      <c r="AU180" s="7">
        <v>0</v>
      </c>
      <c r="AV180" s="7">
        <v>0</v>
      </c>
      <c r="AW180" s="7">
        <v>0</v>
      </c>
      <c r="AX180" s="7">
        <v>0</v>
      </c>
      <c r="BG180" s="8">
        <v>42445</v>
      </c>
      <c r="BH180" s="5">
        <v>12</v>
      </c>
      <c r="BI180" s="5">
        <v>566</v>
      </c>
      <c r="BJ180" s="5">
        <v>0</v>
      </c>
      <c r="BK180" s="5">
        <f>Tableau1[[#This Row],[Base de financement]]-Tableau1[[#This Row],[Subvention ANRU]]-Tableau1[[#This Row],[Ville]]-Tableau1[[#This Row],[Plaine Commune]]-Tableau1[[#This Row],[Bailleurs]]-Tableau1[[#This Row],[CDC]]-Tableau1[[#This Row],[CD93]]-Tableau1[[#This Row],[CRIF]]-Tableau1[[#This Row],[Europe]]-Tableau1[[#This Row],[Autres]]</f>
        <v>0</v>
      </c>
      <c r="BL180" s="412">
        <f>S180-T180-V180-W180-Y180-Z180-AA180-AB180-AC180-AD180-AE180-AF180-AG180-AH180-AI180-AJ180-AK180-AL180-AM180-AN180-AO180-AP180-AQ180-AR180-AS180-AT180-AU180-AV180-AW180-AY180-BE180-BF180-Tableau1[[#This Row],[Ville de Pantin ]]-Tableau1[[#This Row],[Est-Ensemble ]]-Tableau1[[#This Row],[ASGO]]</f>
        <v>-0.5</v>
      </c>
    </row>
    <row r="181" spans="1:64" ht="20.100000000000001" hidden="1" customHeight="1" x14ac:dyDescent="0.25">
      <c r="A181" s="5" t="s">
        <v>238</v>
      </c>
      <c r="B181" s="5" t="s">
        <v>629</v>
      </c>
      <c r="C181" s="14" t="s">
        <v>1295</v>
      </c>
      <c r="D181" s="5" t="s">
        <v>240</v>
      </c>
      <c r="F181" s="5" t="s">
        <v>241</v>
      </c>
      <c r="H181" s="404" t="s">
        <v>630</v>
      </c>
      <c r="J181" s="5" t="s">
        <v>68</v>
      </c>
      <c r="K181" s="5" t="s">
        <v>69</v>
      </c>
      <c r="L181" s="5" t="s">
        <v>243</v>
      </c>
      <c r="O181" s="5" t="s">
        <v>42</v>
      </c>
      <c r="P181" s="5" t="s">
        <v>631</v>
      </c>
      <c r="Q181" s="227">
        <v>5400</v>
      </c>
      <c r="R181" s="7">
        <v>6480</v>
      </c>
      <c r="S181" s="7">
        <v>5400</v>
      </c>
      <c r="T181" s="7">
        <v>2700</v>
      </c>
      <c r="U181" s="7"/>
      <c r="V181" s="7">
        <v>0</v>
      </c>
      <c r="W181" s="7">
        <v>0</v>
      </c>
      <c r="X181" s="7">
        <v>2700</v>
      </c>
      <c r="Y181" s="7"/>
      <c r="Z181" s="7"/>
      <c r="AA181" s="7"/>
      <c r="AB181" s="7"/>
      <c r="AC181" s="7"/>
      <c r="AD181" s="7"/>
      <c r="AE181" s="7"/>
      <c r="AF181" s="7"/>
      <c r="AG181" s="7">
        <v>2700</v>
      </c>
      <c r="AH181" s="7"/>
      <c r="AI181" s="7"/>
      <c r="AJ181" s="7"/>
      <c r="AK181" s="7"/>
      <c r="AL181" s="7"/>
      <c r="AM181" s="7"/>
      <c r="AN181" s="7"/>
      <c r="AO181" s="7"/>
      <c r="AP181" s="7"/>
      <c r="AQ181" s="7"/>
      <c r="AR181" s="7"/>
      <c r="AS181" s="7"/>
      <c r="AT181" s="7">
        <v>0</v>
      </c>
      <c r="AU181" s="7">
        <v>0</v>
      </c>
      <c r="AV181" s="7">
        <v>0</v>
      </c>
      <c r="AW181" s="7">
        <v>0</v>
      </c>
      <c r="AX181" s="7">
        <v>0</v>
      </c>
      <c r="BG181" s="8">
        <v>42461</v>
      </c>
      <c r="BH181" s="5">
        <v>12</v>
      </c>
      <c r="BI181" s="5">
        <v>108</v>
      </c>
      <c r="BJ181" s="5">
        <v>0</v>
      </c>
      <c r="BK181" s="5">
        <f>Tableau1[[#This Row],[Base de financement]]-Tableau1[[#This Row],[Subvention ANRU]]-Tableau1[[#This Row],[Ville]]-Tableau1[[#This Row],[Plaine Commune]]-Tableau1[[#This Row],[Bailleurs]]-Tableau1[[#This Row],[CDC]]-Tableau1[[#This Row],[CD93]]-Tableau1[[#This Row],[CRIF]]-Tableau1[[#This Row],[Europe]]-Tableau1[[#This Row],[Autres]]</f>
        <v>0</v>
      </c>
      <c r="BL181" s="412">
        <f>S181-T181-V181-W181-Y181-Z181-AA181-AB181-AC181-AD181-AE181-AF181-AG181-AH181-AI181-AJ181-AK181-AL181-AM181-AN181-AO181-AP181-AQ181-AR181-AS181-AT181-AU181-AV181-AW181-AY181-BE181-BF181-Tableau1[[#This Row],[Ville de Pantin ]]-Tableau1[[#This Row],[Est-Ensemble ]]-Tableau1[[#This Row],[ASGO]]</f>
        <v>0</v>
      </c>
    </row>
    <row r="182" spans="1:64" ht="20.100000000000001" hidden="1" customHeight="1" x14ac:dyDescent="0.25">
      <c r="A182" s="5" t="s">
        <v>238</v>
      </c>
      <c r="B182" s="5" t="s">
        <v>632</v>
      </c>
      <c r="C182" s="14" t="s">
        <v>1296</v>
      </c>
      <c r="D182" s="5" t="s">
        <v>240</v>
      </c>
      <c r="F182" s="5" t="s">
        <v>241</v>
      </c>
      <c r="H182" s="404" t="s">
        <v>633</v>
      </c>
      <c r="J182" s="5" t="s">
        <v>40</v>
      </c>
      <c r="K182" s="5" t="s">
        <v>69</v>
      </c>
      <c r="L182" s="5" t="s">
        <v>243</v>
      </c>
      <c r="O182" s="5" t="s">
        <v>42</v>
      </c>
      <c r="P182" s="5" t="s">
        <v>634</v>
      </c>
      <c r="Q182" s="227">
        <v>50000</v>
      </c>
      <c r="R182" s="7">
        <v>60000</v>
      </c>
      <c r="S182" s="7">
        <v>50000</v>
      </c>
      <c r="T182" s="7">
        <v>25000</v>
      </c>
      <c r="U182" s="7"/>
      <c r="V182" s="7">
        <v>0</v>
      </c>
      <c r="W182" s="7">
        <v>0</v>
      </c>
      <c r="X182" s="7">
        <v>25000</v>
      </c>
      <c r="Y182" s="7"/>
      <c r="Z182" s="7"/>
      <c r="AA182" s="7"/>
      <c r="AB182" s="7"/>
      <c r="AC182" s="7"/>
      <c r="AD182" s="7"/>
      <c r="AE182" s="7"/>
      <c r="AF182" s="7"/>
      <c r="AG182" s="7">
        <v>25000</v>
      </c>
      <c r="AH182" s="7"/>
      <c r="AI182" s="7"/>
      <c r="AJ182" s="7"/>
      <c r="AK182" s="7"/>
      <c r="AL182" s="7"/>
      <c r="AM182" s="7"/>
      <c r="AN182" s="7"/>
      <c r="AO182" s="7"/>
      <c r="AP182" s="7"/>
      <c r="AQ182" s="7"/>
      <c r="AR182" s="7"/>
      <c r="AS182" s="7"/>
      <c r="AT182" s="7">
        <v>0</v>
      </c>
      <c r="AU182" s="7">
        <v>0</v>
      </c>
      <c r="AV182" s="7">
        <v>0</v>
      </c>
      <c r="AW182" s="7">
        <v>0</v>
      </c>
      <c r="AX182" s="7">
        <v>0</v>
      </c>
      <c r="BG182" s="8">
        <v>42614</v>
      </c>
      <c r="BH182" s="5">
        <v>6</v>
      </c>
      <c r="BI182" s="5">
        <v>108</v>
      </c>
      <c r="BJ182" s="5">
        <v>0</v>
      </c>
      <c r="BK182" s="5">
        <f>Tableau1[[#This Row],[Base de financement]]-Tableau1[[#This Row],[Subvention ANRU]]-Tableau1[[#This Row],[Ville]]-Tableau1[[#This Row],[Plaine Commune]]-Tableau1[[#This Row],[Bailleurs]]-Tableau1[[#This Row],[CDC]]-Tableau1[[#This Row],[CD93]]-Tableau1[[#This Row],[CRIF]]-Tableau1[[#This Row],[Europe]]-Tableau1[[#This Row],[Autres]]</f>
        <v>0</v>
      </c>
      <c r="BL182" s="412">
        <f>S182-T182-V182-W182-Y182-Z182-AA182-AB182-AC182-AD182-AE182-AF182-AG182-AH182-AI182-AJ182-AK182-AL182-AM182-AN182-AO182-AP182-AQ182-AR182-AS182-AT182-AU182-AV182-AW182-AY182-BE182-BF182-Tableau1[[#This Row],[Ville de Pantin ]]-Tableau1[[#This Row],[Est-Ensemble ]]-Tableau1[[#This Row],[ASGO]]</f>
        <v>0</v>
      </c>
    </row>
    <row r="183" spans="1:64" ht="20.100000000000001" hidden="1" customHeight="1" x14ac:dyDescent="0.25">
      <c r="A183" s="5" t="s">
        <v>238</v>
      </c>
      <c r="B183" s="5" t="s">
        <v>239</v>
      </c>
      <c r="C183" s="14" t="s">
        <v>1297</v>
      </c>
      <c r="D183" s="5" t="s">
        <v>240</v>
      </c>
      <c r="F183" s="5" t="s">
        <v>241</v>
      </c>
      <c r="H183" s="404" t="s">
        <v>242</v>
      </c>
      <c r="J183" s="5" t="s">
        <v>40</v>
      </c>
      <c r="L183" s="5" t="s">
        <v>243</v>
      </c>
      <c r="P183" s="5" t="s">
        <v>244</v>
      </c>
      <c r="Q183" s="227">
        <v>40000</v>
      </c>
      <c r="R183" s="7">
        <v>48000</v>
      </c>
      <c r="S183" s="7">
        <v>40000</v>
      </c>
      <c r="T183" s="7">
        <v>20000</v>
      </c>
      <c r="U183" s="7"/>
      <c r="V183" s="7"/>
      <c r="W183" s="7"/>
      <c r="X183" s="7">
        <v>20000</v>
      </c>
      <c r="Y183" s="7"/>
      <c r="Z183" s="7"/>
      <c r="AA183" s="7"/>
      <c r="AB183" s="7"/>
      <c r="AC183" s="7"/>
      <c r="AD183" s="7"/>
      <c r="AE183" s="7"/>
      <c r="AF183" s="7"/>
      <c r="AG183" s="7">
        <v>20000</v>
      </c>
      <c r="AH183" s="7"/>
      <c r="AI183" s="7"/>
      <c r="AJ183" s="7"/>
      <c r="AK183" s="7"/>
      <c r="AL183" s="7"/>
      <c r="AM183" s="7"/>
      <c r="AN183" s="7"/>
      <c r="AO183" s="7"/>
      <c r="AP183" s="7"/>
      <c r="AQ183" s="7"/>
      <c r="AR183" s="7"/>
      <c r="AS183" s="7"/>
      <c r="AT183" s="7"/>
      <c r="AU183" s="7"/>
      <c r="AV183" s="7"/>
      <c r="AW183" s="7"/>
      <c r="AX183" s="7"/>
      <c r="BG183" s="8">
        <v>42461</v>
      </c>
      <c r="BH183" s="5">
        <v>4</v>
      </c>
      <c r="BJ183" s="5"/>
      <c r="BK183" s="5">
        <f>Tableau1[[#This Row],[Base de financement]]-Tableau1[[#This Row],[Subvention ANRU]]-Tableau1[[#This Row],[Ville]]-Tableau1[[#This Row],[Plaine Commune]]-Tableau1[[#This Row],[Bailleurs]]-Tableau1[[#This Row],[CDC]]-Tableau1[[#This Row],[CD93]]-Tableau1[[#This Row],[CRIF]]-Tableau1[[#This Row],[Europe]]-Tableau1[[#This Row],[Autres]]</f>
        <v>0</v>
      </c>
      <c r="BL183" s="412">
        <f>S183-T183-V183-W183-Y183-Z183-AA183-AB183-AC183-AD183-AE183-AF183-AG183-AH183-AI183-AJ183-AK183-AL183-AM183-AN183-AO183-AP183-AQ183-AR183-AS183-AT183-AU183-AV183-AW183-AY183-BE183-BF183-Tableau1[[#This Row],[Ville de Pantin ]]-Tableau1[[#This Row],[Est-Ensemble ]]-Tableau1[[#This Row],[ASGO]]</f>
        <v>0</v>
      </c>
    </row>
    <row r="184" spans="1:64" ht="20.100000000000001" hidden="1" customHeight="1" x14ac:dyDescent="0.25">
      <c r="A184" s="264" t="s">
        <v>238</v>
      </c>
      <c r="B184" s="264" t="s">
        <v>652</v>
      </c>
      <c r="C184" s="14" t="s">
        <v>1300</v>
      </c>
      <c r="D184" s="264" t="s">
        <v>646</v>
      </c>
      <c r="F184" s="5" t="s">
        <v>241</v>
      </c>
      <c r="H184" s="460" t="s">
        <v>653</v>
      </c>
      <c r="I184" s="264"/>
      <c r="J184" s="264" t="s">
        <v>53</v>
      </c>
      <c r="K184" s="264" t="s">
        <v>69</v>
      </c>
      <c r="L184" s="5" t="s">
        <v>243</v>
      </c>
      <c r="O184" s="5" t="s">
        <v>42</v>
      </c>
      <c r="P184" s="5" t="s">
        <v>654</v>
      </c>
      <c r="Q184" s="405">
        <v>129298</v>
      </c>
      <c r="R184" s="265">
        <v>155157.6</v>
      </c>
      <c r="S184" s="265">
        <v>129298</v>
      </c>
      <c r="T184" s="265">
        <v>64649</v>
      </c>
      <c r="U184" s="265"/>
      <c r="V184" s="265">
        <v>0</v>
      </c>
      <c r="W184" s="265">
        <v>0</v>
      </c>
      <c r="X184" s="265">
        <v>64649</v>
      </c>
      <c r="Y184" s="265"/>
      <c r="Z184" s="265"/>
      <c r="AA184" s="265"/>
      <c r="AB184" s="265"/>
      <c r="AC184" s="265"/>
      <c r="AD184" s="265"/>
      <c r="AE184" s="7"/>
      <c r="AF184" s="7"/>
      <c r="AG184" s="7">
        <v>64649</v>
      </c>
      <c r="AH184" s="7"/>
      <c r="AI184" s="7"/>
      <c r="AJ184" s="7"/>
      <c r="AK184" s="7"/>
      <c r="AL184" s="7"/>
      <c r="AM184" s="7"/>
      <c r="AN184" s="7"/>
      <c r="AO184" s="7"/>
      <c r="AP184" s="7"/>
      <c r="AQ184" s="7"/>
      <c r="AR184" s="7"/>
      <c r="AS184" s="7"/>
      <c r="AT184" s="7">
        <v>0</v>
      </c>
      <c r="AU184" s="7">
        <v>0</v>
      </c>
      <c r="AV184" s="7">
        <v>0</v>
      </c>
      <c r="AW184" s="7">
        <v>0</v>
      </c>
      <c r="AX184" s="7">
        <v>0</v>
      </c>
      <c r="BG184" s="407">
        <v>42445</v>
      </c>
      <c r="BH184" s="5">
        <v>12</v>
      </c>
      <c r="BI184" s="5">
        <v>298</v>
      </c>
      <c r="BJ184" s="5">
        <v>0</v>
      </c>
      <c r="BK184" s="5">
        <f>Tableau1[[#This Row],[Base de financement]]-Tableau1[[#This Row],[Subvention ANRU]]-Tableau1[[#This Row],[Ville]]-Tableau1[[#This Row],[Plaine Commune]]-Tableau1[[#This Row],[Bailleurs]]-Tableau1[[#This Row],[CDC]]-Tableau1[[#This Row],[CD93]]-Tableau1[[#This Row],[CRIF]]-Tableau1[[#This Row],[Europe]]-Tableau1[[#This Row],[Autres]]</f>
        <v>0</v>
      </c>
      <c r="BL184" s="412">
        <f>S184-T184-V184-W184-Y184-Z184-AA184-AB184-AC184-AD184-AE184-AF184-AG184-AH184-AI184-AJ184-AK184-AL184-AM184-AN184-AO184-AP184-AQ184-AR184-AS184-AT184-AU184-AV184-AW184-AY184-BE184-BF184-Tableau1[[#This Row],[Ville de Pantin ]]-Tableau1[[#This Row],[Est-Ensemble ]]-Tableau1[[#This Row],[ASGO]]</f>
        <v>0</v>
      </c>
    </row>
    <row r="185" spans="1:64" customFormat="1" ht="22.5" hidden="1" customHeight="1" x14ac:dyDescent="0.25">
      <c r="A185" s="195" t="s">
        <v>238</v>
      </c>
      <c r="B185" s="195" t="s">
        <v>648</v>
      </c>
      <c r="C185" s="14" t="s">
        <v>1301</v>
      </c>
      <c r="D185" s="195" t="s">
        <v>646</v>
      </c>
      <c r="E185" s="5"/>
      <c r="F185" s="5" t="s">
        <v>241</v>
      </c>
      <c r="G185" s="5"/>
      <c r="H185" s="462" t="s">
        <v>630</v>
      </c>
      <c r="I185" s="195"/>
      <c r="J185" s="195" t="s">
        <v>68</v>
      </c>
      <c r="K185" s="195" t="s">
        <v>69</v>
      </c>
      <c r="L185" s="5" t="s">
        <v>243</v>
      </c>
      <c r="M185" s="5"/>
      <c r="N185" s="5"/>
      <c r="O185" s="5" t="s">
        <v>42</v>
      </c>
      <c r="P185" s="5" t="s">
        <v>649</v>
      </c>
      <c r="Q185" s="466">
        <v>14900</v>
      </c>
      <c r="R185" s="197">
        <v>17880</v>
      </c>
      <c r="S185" s="197">
        <v>14900</v>
      </c>
      <c r="T185" s="197">
        <v>7450</v>
      </c>
      <c r="U185" s="197"/>
      <c r="V185" s="197">
        <v>0</v>
      </c>
      <c r="W185" s="197">
        <v>0</v>
      </c>
      <c r="X185" s="197">
        <v>7450</v>
      </c>
      <c r="Y185" s="197"/>
      <c r="Z185" s="197"/>
      <c r="AA185" s="317"/>
      <c r="AB185" s="197"/>
      <c r="AC185" s="197"/>
      <c r="AD185" s="197"/>
      <c r="AE185" s="7"/>
      <c r="AF185" s="7"/>
      <c r="AG185" s="7">
        <v>7450</v>
      </c>
      <c r="AH185" s="7"/>
      <c r="AI185" s="7"/>
      <c r="AJ185" s="7"/>
      <c r="AK185" s="7"/>
      <c r="AL185" s="7"/>
      <c r="AM185" s="7"/>
      <c r="AN185" s="7"/>
      <c r="AO185" s="7"/>
      <c r="AP185" s="7"/>
      <c r="AQ185" s="7"/>
      <c r="AR185" s="7"/>
      <c r="AS185" s="7"/>
      <c r="AT185" s="7">
        <v>0</v>
      </c>
      <c r="AU185" s="7">
        <v>0</v>
      </c>
      <c r="AV185" s="7">
        <v>0</v>
      </c>
      <c r="AW185" s="7">
        <v>0</v>
      </c>
      <c r="AX185" s="7">
        <v>0</v>
      </c>
      <c r="AY185" s="5"/>
      <c r="AZ185" s="5"/>
      <c r="BA185" s="5"/>
      <c r="BB185" s="5"/>
      <c r="BC185" s="5"/>
      <c r="BD185" s="5"/>
      <c r="BE185" s="5"/>
      <c r="BF185" s="5"/>
      <c r="BG185" s="199">
        <v>42461</v>
      </c>
      <c r="BH185" s="5">
        <v>12</v>
      </c>
      <c r="BI185" s="5">
        <v>298</v>
      </c>
      <c r="BJ185" s="5">
        <v>0</v>
      </c>
      <c r="BK185" s="5">
        <f>Tableau1[[#This Row],[Base de financement]]-Tableau1[[#This Row],[Subvention ANRU]]-Tableau1[[#This Row],[Ville]]-Tableau1[[#This Row],[Plaine Commune]]-Tableau1[[#This Row],[Bailleurs]]-Tableau1[[#This Row],[CDC]]-Tableau1[[#This Row],[CD93]]-Tableau1[[#This Row],[CRIF]]-Tableau1[[#This Row],[Europe]]-Tableau1[[#This Row],[Autres]]</f>
        <v>0</v>
      </c>
      <c r="BL185" s="412">
        <f>S185-T185-V185-W185-Y185-Z185-AA185-AB185-AC185-AD185-AE185-AF185-AG185-AH185-AI185-AJ185-AK185-AL185-AM185-AN185-AO185-AP185-AQ185-AR185-AS185-AT185-AU185-AV185-AW185-AY185-BE185-BF185-Tableau1[[#This Row],[Ville de Pantin ]]-Tableau1[[#This Row],[Est-Ensemble ]]-Tableau1[[#This Row],[ASGO]]</f>
        <v>0</v>
      </c>
    </row>
    <row r="186" spans="1:64" ht="20.100000000000001" hidden="1" customHeight="1" x14ac:dyDescent="0.25">
      <c r="A186" s="5" t="s">
        <v>238</v>
      </c>
      <c r="B186" s="5" t="s">
        <v>650</v>
      </c>
      <c r="C186" s="14" t="s">
        <v>1302</v>
      </c>
      <c r="D186" s="5" t="s">
        <v>646</v>
      </c>
      <c r="F186" s="5" t="s">
        <v>241</v>
      </c>
      <c r="H186" s="404" t="s">
        <v>633</v>
      </c>
      <c r="J186" s="5" t="s">
        <v>40</v>
      </c>
      <c r="K186" s="5" t="s">
        <v>69</v>
      </c>
      <c r="L186" s="5" t="s">
        <v>243</v>
      </c>
      <c r="O186" s="5" t="s">
        <v>42</v>
      </c>
      <c r="P186" s="5" t="s">
        <v>651</v>
      </c>
      <c r="Q186" s="227">
        <v>16667</v>
      </c>
      <c r="R186" s="7">
        <v>20000.400000000001</v>
      </c>
      <c r="S186" s="7">
        <v>16667</v>
      </c>
      <c r="T186" s="7">
        <v>8333.5</v>
      </c>
      <c r="U186" s="7"/>
      <c r="V186" s="7">
        <v>0</v>
      </c>
      <c r="W186" s="7">
        <v>0</v>
      </c>
      <c r="X186" s="7">
        <v>8333.5</v>
      </c>
      <c r="Y186" s="7"/>
      <c r="Z186" s="7"/>
      <c r="AA186" s="7"/>
      <c r="AB186" s="7"/>
      <c r="AC186" s="7"/>
      <c r="AD186" s="7"/>
      <c r="AE186" s="7"/>
      <c r="AF186" s="7"/>
      <c r="AG186" s="7">
        <v>8334</v>
      </c>
      <c r="AH186" s="7"/>
      <c r="AI186" s="7"/>
      <c r="AJ186" s="7"/>
      <c r="AK186" s="7"/>
      <c r="AL186" s="7"/>
      <c r="AM186" s="7"/>
      <c r="AN186" s="7"/>
      <c r="AO186" s="7"/>
      <c r="AP186" s="7"/>
      <c r="AQ186" s="7"/>
      <c r="AR186" s="7"/>
      <c r="AS186" s="7"/>
      <c r="AT186" s="7">
        <v>0</v>
      </c>
      <c r="AU186" s="7">
        <v>0</v>
      </c>
      <c r="AV186" s="7">
        <v>0</v>
      </c>
      <c r="AW186" s="7">
        <v>0</v>
      </c>
      <c r="AX186" s="7">
        <v>0</v>
      </c>
      <c r="BG186" s="8">
        <v>42614</v>
      </c>
      <c r="BH186" s="5">
        <v>6</v>
      </c>
      <c r="BI186" s="5">
        <v>50</v>
      </c>
      <c r="BJ186" s="5">
        <v>0</v>
      </c>
      <c r="BK186" s="5">
        <f>Tableau1[[#This Row],[Base de financement]]-Tableau1[[#This Row],[Subvention ANRU]]-Tableau1[[#This Row],[Ville]]-Tableau1[[#This Row],[Plaine Commune]]-Tableau1[[#This Row],[Bailleurs]]-Tableau1[[#This Row],[CDC]]-Tableau1[[#This Row],[CD93]]-Tableau1[[#This Row],[CRIF]]-Tableau1[[#This Row],[Europe]]-Tableau1[[#This Row],[Autres]]</f>
        <v>0</v>
      </c>
      <c r="BL186" s="412">
        <f>S186-T186-V186-W186-Y186-Z186-AA186-AB186-AC186-AD186-AE186-AF186-AG186-AH186-AI186-AJ186-AK186-AL186-AM186-AN186-AO186-AP186-AQ186-AR186-AS186-AT186-AU186-AV186-AW186-AY186-BE186-BF186-Tableau1[[#This Row],[Ville de Pantin ]]-Tableau1[[#This Row],[Est-Ensemble ]]-Tableau1[[#This Row],[ASGO]]</f>
        <v>-0.5</v>
      </c>
    </row>
    <row r="187" spans="1:64" ht="20.100000000000001" customHeight="1" x14ac:dyDescent="0.25">
      <c r="A187" s="5" t="s">
        <v>238</v>
      </c>
      <c r="B187" s="5" t="s">
        <v>616</v>
      </c>
      <c r="C187" s="14" t="s">
        <v>1298</v>
      </c>
      <c r="D187" s="14" t="s">
        <v>1291</v>
      </c>
      <c r="E187" s="5" t="s">
        <v>36</v>
      </c>
      <c r="F187" s="5" t="s">
        <v>241</v>
      </c>
      <c r="G187" s="5" t="s">
        <v>617</v>
      </c>
      <c r="H187" s="404" t="s">
        <v>618</v>
      </c>
      <c r="I187" s="5" t="s">
        <v>251</v>
      </c>
      <c r="J187" s="5" t="s">
        <v>40</v>
      </c>
      <c r="K187" s="5" t="s">
        <v>41</v>
      </c>
      <c r="L187" s="5" t="s">
        <v>22</v>
      </c>
      <c r="O187" s="5" t="s">
        <v>42</v>
      </c>
      <c r="P187" s="5" t="s">
        <v>619</v>
      </c>
      <c r="Q187" s="227">
        <v>38450</v>
      </c>
      <c r="R187" s="7">
        <v>46140</v>
      </c>
      <c r="S187" s="7">
        <v>38450</v>
      </c>
      <c r="T187" s="13">
        <v>15380</v>
      </c>
      <c r="U187" s="7" t="s">
        <v>620</v>
      </c>
      <c r="V187" s="7">
        <v>0</v>
      </c>
      <c r="W187" s="7">
        <v>9612.5</v>
      </c>
      <c r="X187" s="13">
        <v>9612.5</v>
      </c>
      <c r="Y187" s="7"/>
      <c r="Z187" s="7"/>
      <c r="AA187" s="7"/>
      <c r="AB187" s="7"/>
      <c r="AC187" s="7"/>
      <c r="AD187" s="7"/>
      <c r="AE187" s="7"/>
      <c r="AF187" s="7"/>
      <c r="AG187" s="13">
        <v>9613</v>
      </c>
      <c r="AH187" s="7"/>
      <c r="AI187" s="7"/>
      <c r="AJ187" s="7"/>
      <c r="AK187" s="7"/>
      <c r="AL187" s="7"/>
      <c r="AM187" s="7"/>
      <c r="AN187" s="7"/>
      <c r="AO187" s="7"/>
      <c r="AP187" s="7"/>
      <c r="AQ187" s="7"/>
      <c r="AR187" s="7"/>
      <c r="AS187" s="7"/>
      <c r="AT187" s="7">
        <v>3845</v>
      </c>
      <c r="AU187" s="7">
        <v>0</v>
      </c>
      <c r="AV187" s="7">
        <v>0</v>
      </c>
      <c r="AW187" s="7">
        <v>0</v>
      </c>
      <c r="AX187" s="7">
        <v>0</v>
      </c>
      <c r="BG187" s="8">
        <v>42445</v>
      </c>
      <c r="BH187" s="5">
        <v>18</v>
      </c>
      <c r="BI187" s="5">
        <v>0</v>
      </c>
      <c r="BJ187" s="5">
        <v>0</v>
      </c>
      <c r="BK187" s="5">
        <f>Tableau1[[#This Row],[Base de financement]]-Tableau1[[#This Row],[Subvention ANRU]]-Tableau1[[#This Row],[Ville]]-Tableau1[[#This Row],[Plaine Commune]]-Tableau1[[#This Row],[Bailleurs]]-Tableau1[[#This Row],[CDC]]-Tableau1[[#This Row],[CD93]]-Tableau1[[#This Row],[CRIF]]-Tableau1[[#This Row],[Europe]]-Tableau1[[#This Row],[Autres]]</f>
        <v>0</v>
      </c>
      <c r="BL187" s="412">
        <f>S187-T187-V187-W187-Y187-Z187-AA187-AB187-AC187-AD187-AE187-AF187-AG187-AH187-AI187-AJ187-AK187-AL187-AM187-AN187-AO187-AP187-AQ187-AR187-AS187-AT187-AU187-AV187-AW187-AY187-BE187-BF187-Tableau1[[#This Row],[Ville de Pantin ]]-Tableau1[[#This Row],[Est-Ensemble ]]-Tableau1[[#This Row],[ASGO]]</f>
        <v>-0.5</v>
      </c>
    </row>
    <row r="188" spans="1:64" ht="20.100000000000001" customHeight="1" x14ac:dyDescent="0.25">
      <c r="A188" s="264" t="s">
        <v>238</v>
      </c>
      <c r="B188" s="264" t="s">
        <v>637</v>
      </c>
      <c r="C188" s="14" t="s">
        <v>1298</v>
      </c>
      <c r="D188" s="346" t="s">
        <v>1291</v>
      </c>
      <c r="E188" s="5" t="s">
        <v>36</v>
      </c>
      <c r="F188" s="5" t="s">
        <v>241</v>
      </c>
      <c r="G188" s="5" t="s">
        <v>617</v>
      </c>
      <c r="H188" s="460" t="s">
        <v>638</v>
      </c>
      <c r="I188" s="264" t="s">
        <v>251</v>
      </c>
      <c r="J188" s="264" t="s">
        <v>40</v>
      </c>
      <c r="K188" s="264" t="s">
        <v>41</v>
      </c>
      <c r="L188" s="5" t="s">
        <v>22</v>
      </c>
      <c r="O188" s="5" t="s">
        <v>42</v>
      </c>
      <c r="P188" s="5" t="s">
        <v>639</v>
      </c>
      <c r="Q188" s="405">
        <v>20000</v>
      </c>
      <c r="R188" s="265">
        <v>24000</v>
      </c>
      <c r="S188" s="265">
        <v>20000</v>
      </c>
      <c r="T188" s="265">
        <v>10000</v>
      </c>
      <c r="U188" s="265"/>
      <c r="V188" s="265">
        <v>0</v>
      </c>
      <c r="W188" s="265">
        <v>10000</v>
      </c>
      <c r="X188" s="265">
        <v>0</v>
      </c>
      <c r="Y188" s="265"/>
      <c r="Z188" s="265"/>
      <c r="AA188" s="265"/>
      <c r="AB188" s="265"/>
      <c r="AC188" s="265"/>
      <c r="AD188" s="265"/>
      <c r="AE188" s="7"/>
      <c r="AF188" s="7"/>
      <c r="AG188" s="7"/>
      <c r="AH188" s="7"/>
      <c r="AI188" s="7"/>
      <c r="AJ188" s="7"/>
      <c r="AK188" s="7"/>
      <c r="AL188" s="7"/>
      <c r="AM188" s="7"/>
      <c r="AN188" s="7"/>
      <c r="AO188" s="7"/>
      <c r="AP188" s="7"/>
      <c r="AQ188" s="7"/>
      <c r="AR188" s="7"/>
      <c r="AS188" s="7"/>
      <c r="AT188" s="7">
        <v>0</v>
      </c>
      <c r="AU188" s="7">
        <v>0</v>
      </c>
      <c r="AV188" s="7">
        <v>0</v>
      </c>
      <c r="AW188" s="7">
        <v>0</v>
      </c>
      <c r="AX188" s="7">
        <v>0</v>
      </c>
      <c r="BG188" s="407">
        <v>42445</v>
      </c>
      <c r="BH188" s="5">
        <v>5</v>
      </c>
      <c r="BI188" s="5">
        <v>0</v>
      </c>
      <c r="BJ188" s="5">
        <v>0</v>
      </c>
      <c r="BK188" s="5">
        <f>Tableau1[[#This Row],[Base de financement]]-Tableau1[[#This Row],[Subvention ANRU]]-Tableau1[[#This Row],[Ville]]-Tableau1[[#This Row],[Plaine Commune]]-Tableau1[[#This Row],[Bailleurs]]-Tableau1[[#This Row],[CDC]]-Tableau1[[#This Row],[CD93]]-Tableau1[[#This Row],[CRIF]]-Tableau1[[#This Row],[Europe]]-Tableau1[[#This Row],[Autres]]</f>
        <v>0</v>
      </c>
      <c r="BL188" s="412">
        <f>S188-T188-V188-W188-Y188-Z188-AA188-AB188-AC188-AD188-AE188-AF188-AG188-AH188-AI188-AJ188-AK188-AL188-AM188-AN188-AO188-AP188-AQ188-AR188-AS188-AT188-AU188-AV188-AW188-AY188-BE188-BF188-Tableau1[[#This Row],[Ville de Pantin ]]-Tableau1[[#This Row],[Est-Ensemble ]]-Tableau1[[#This Row],[ASGO]]</f>
        <v>0</v>
      </c>
    </row>
    <row r="189" spans="1:64" ht="20.100000000000001" customHeight="1" x14ac:dyDescent="0.25">
      <c r="A189" s="5" t="s">
        <v>238</v>
      </c>
      <c r="B189" s="5" t="s">
        <v>645</v>
      </c>
      <c r="C189" s="14" t="s">
        <v>1298</v>
      </c>
      <c r="D189" s="14" t="s">
        <v>1291</v>
      </c>
      <c r="E189" s="5" t="s">
        <v>36</v>
      </c>
      <c r="F189" s="5" t="s">
        <v>241</v>
      </c>
      <c r="G189" s="5" t="s">
        <v>617</v>
      </c>
      <c r="H189" s="404" t="s">
        <v>38</v>
      </c>
      <c r="I189" s="5" t="s">
        <v>251</v>
      </c>
      <c r="J189" s="5" t="s">
        <v>40</v>
      </c>
      <c r="K189" s="5" t="s">
        <v>41</v>
      </c>
      <c r="L189" s="5" t="s">
        <v>22</v>
      </c>
      <c r="O189" s="5" t="s">
        <v>42</v>
      </c>
      <c r="P189" s="5" t="s">
        <v>647</v>
      </c>
      <c r="Q189" s="227">
        <v>100000</v>
      </c>
      <c r="R189" s="7">
        <v>120000</v>
      </c>
      <c r="S189" s="7">
        <v>100000</v>
      </c>
      <c r="T189" s="13">
        <v>40000</v>
      </c>
      <c r="U189" s="7"/>
      <c r="V189" s="7">
        <v>0</v>
      </c>
      <c r="W189" s="7">
        <v>25000</v>
      </c>
      <c r="X189" s="13">
        <v>25000</v>
      </c>
      <c r="Y189" s="7"/>
      <c r="Z189" s="7"/>
      <c r="AA189" s="7"/>
      <c r="AB189" s="7"/>
      <c r="AC189" s="7"/>
      <c r="AD189" s="7"/>
      <c r="AE189" s="7"/>
      <c r="AF189" s="7"/>
      <c r="AG189" s="13">
        <v>25000</v>
      </c>
      <c r="AH189" s="7"/>
      <c r="AI189" s="7"/>
      <c r="AJ189" s="7"/>
      <c r="AK189" s="7"/>
      <c r="AL189" s="7"/>
      <c r="AM189" s="7"/>
      <c r="AN189" s="7"/>
      <c r="AO189" s="7"/>
      <c r="AP189" s="7"/>
      <c r="AQ189" s="7"/>
      <c r="AR189" s="7"/>
      <c r="AS189" s="7"/>
      <c r="AT189" s="7">
        <v>10000</v>
      </c>
      <c r="AU189" s="7">
        <v>0</v>
      </c>
      <c r="AV189" s="7">
        <v>0</v>
      </c>
      <c r="AW189" s="7">
        <v>0</v>
      </c>
      <c r="AX189" s="7">
        <v>0</v>
      </c>
      <c r="BG189" s="8">
        <v>42491</v>
      </c>
      <c r="BH189" s="5">
        <v>18</v>
      </c>
      <c r="BI189" s="5">
        <v>0</v>
      </c>
      <c r="BJ189" s="5">
        <v>0</v>
      </c>
      <c r="BK189" s="5">
        <f>Tableau1[[#This Row],[Base de financement]]-Tableau1[[#This Row],[Subvention ANRU]]-Tableau1[[#This Row],[Ville]]-Tableau1[[#This Row],[Plaine Commune]]-Tableau1[[#This Row],[Bailleurs]]-Tableau1[[#This Row],[CDC]]-Tableau1[[#This Row],[CD93]]-Tableau1[[#This Row],[CRIF]]-Tableau1[[#This Row],[Europe]]-Tableau1[[#This Row],[Autres]]</f>
        <v>0</v>
      </c>
      <c r="BL189" s="412">
        <f>S189-T189-V189-W189-Y189-Z189-AA189-AB189-AC189-AD189-AE189-AF189-AG189-AH189-AI189-AJ189-AK189-AL189-AM189-AN189-AO189-AP189-AQ189-AR189-AS189-AT189-AU189-AV189-AW189-AY189-BE189-BF189-Tableau1[[#This Row],[Ville de Pantin ]]-Tableau1[[#This Row],[Est-Ensemble ]]-Tableau1[[#This Row],[ASGO]]</f>
        <v>0</v>
      </c>
    </row>
    <row r="190" spans="1:64" ht="20.100000000000001" customHeight="1" x14ac:dyDescent="0.25">
      <c r="A190" s="5" t="s">
        <v>238</v>
      </c>
      <c r="B190" s="5" t="s">
        <v>576</v>
      </c>
      <c r="C190" s="14" t="s">
        <v>1299</v>
      </c>
      <c r="D190" s="14" t="s">
        <v>1291</v>
      </c>
      <c r="E190" s="5" t="s">
        <v>36</v>
      </c>
      <c r="F190" s="5" t="s">
        <v>241</v>
      </c>
      <c r="G190" s="5" t="s">
        <v>1292</v>
      </c>
      <c r="H190" s="404" t="s">
        <v>1383</v>
      </c>
      <c r="I190" s="14" t="s">
        <v>1383</v>
      </c>
      <c r="J190" s="5" t="s">
        <v>113</v>
      </c>
      <c r="K190" s="5" t="s">
        <v>41</v>
      </c>
      <c r="L190" s="5" t="s">
        <v>22</v>
      </c>
      <c r="O190" s="5" t="s">
        <v>42</v>
      </c>
      <c r="P190" s="5" t="s">
        <v>577</v>
      </c>
      <c r="Q190" s="227">
        <v>210000</v>
      </c>
      <c r="R190" s="7">
        <v>252000</v>
      </c>
      <c r="S190" s="7">
        <v>210000</v>
      </c>
      <c r="T190" s="13">
        <v>56750</v>
      </c>
      <c r="U190" s="7" t="s">
        <v>1384</v>
      </c>
      <c r="V190" s="7">
        <v>0</v>
      </c>
      <c r="W190" s="7">
        <v>31500</v>
      </c>
      <c r="X190" s="13">
        <v>25250</v>
      </c>
      <c r="Y190" s="7"/>
      <c r="Z190" s="7"/>
      <c r="AA190" s="7"/>
      <c r="AB190" s="7"/>
      <c r="AC190" s="7"/>
      <c r="AD190" s="7"/>
      <c r="AE190" s="7"/>
      <c r="AF190" s="7"/>
      <c r="AG190" s="13">
        <v>25250</v>
      </c>
      <c r="AH190" s="7"/>
      <c r="AI190" s="7"/>
      <c r="AJ190" s="7"/>
      <c r="AK190" s="7"/>
      <c r="AL190" s="7"/>
      <c r="AM190" s="7"/>
      <c r="AN190" s="7"/>
      <c r="AO190" s="7"/>
      <c r="AP190" s="7"/>
      <c r="AQ190" s="7"/>
      <c r="AR190" s="7"/>
      <c r="AS190" s="7"/>
      <c r="AT190" s="7">
        <v>0</v>
      </c>
      <c r="AU190" s="7">
        <v>0</v>
      </c>
      <c r="AV190" s="7">
        <v>0</v>
      </c>
      <c r="AW190" s="7">
        <v>0</v>
      </c>
      <c r="AX190" s="7">
        <v>96500</v>
      </c>
      <c r="BF190" s="5">
        <v>96500</v>
      </c>
      <c r="BG190" s="8">
        <v>42461</v>
      </c>
      <c r="BH190" s="5">
        <v>20</v>
      </c>
      <c r="BI190" s="5">
        <v>2484</v>
      </c>
      <c r="BJ190" s="5"/>
      <c r="BK190" s="5">
        <f>Tableau1[[#This Row],[Base de financement]]-Tableau1[[#This Row],[Subvention ANRU]]-Tableau1[[#This Row],[Ville]]-Tableau1[[#This Row],[Plaine Commune]]-Tableau1[[#This Row],[Bailleurs]]-Tableau1[[#This Row],[CDC]]-Tableau1[[#This Row],[CD93]]-Tableau1[[#This Row],[CRIF]]-Tableau1[[#This Row],[Europe]]-Tableau1[[#This Row],[Autres]]</f>
        <v>0</v>
      </c>
      <c r="BL190" s="412">
        <f>S190-T190-V190-W190-Y190-Z190-AA190-AB190-AC190-AD190-AE190-AF190-AG190-AH190-AI190-AJ190-AK190-AL190-AM190-AN190-AO190-AP190-AQ190-AR190-AS190-AT190-AU190-AV190-AW190-AY190-BE190-BF190-Tableau1[[#This Row],[Ville de Pantin ]]-Tableau1[[#This Row],[Est-Ensemble ]]-Tableau1[[#This Row],[ASGO]]</f>
        <v>0</v>
      </c>
    </row>
    <row r="191" spans="1:64" ht="20.100000000000001" customHeight="1" x14ac:dyDescent="0.25">
      <c r="A191" s="5" t="s">
        <v>655</v>
      </c>
      <c r="B191" s="5" t="s">
        <v>656</v>
      </c>
      <c r="C191" s="14" t="s">
        <v>1303</v>
      </c>
      <c r="D191" s="5" t="s">
        <v>657</v>
      </c>
      <c r="E191" s="5" t="s">
        <v>36</v>
      </c>
      <c r="F191" s="5" t="s">
        <v>658</v>
      </c>
      <c r="H191" s="404" t="s">
        <v>659</v>
      </c>
      <c r="I191" s="5" t="s">
        <v>660</v>
      </c>
      <c r="J191" s="5" t="s">
        <v>40</v>
      </c>
      <c r="K191" s="5" t="s">
        <v>47</v>
      </c>
      <c r="L191" s="5" t="s">
        <v>22</v>
      </c>
      <c r="O191" s="5" t="s">
        <v>42</v>
      </c>
      <c r="P191" s="5" t="s">
        <v>661</v>
      </c>
      <c r="Q191" s="227">
        <v>20833</v>
      </c>
      <c r="R191" s="7">
        <v>24999.599999999999</v>
      </c>
      <c r="S191" s="7">
        <v>20833</v>
      </c>
      <c r="T191" s="7">
        <v>0</v>
      </c>
      <c r="U191" s="7" t="s">
        <v>764</v>
      </c>
      <c r="V191" s="7">
        <v>0</v>
      </c>
      <c r="W191" s="7">
        <v>20833</v>
      </c>
      <c r="X191" s="7">
        <v>0</v>
      </c>
      <c r="Y191" s="7"/>
      <c r="Z191" s="7"/>
      <c r="AA191" s="7"/>
      <c r="AB191" s="7"/>
      <c r="AC191" s="7"/>
      <c r="AD191" s="7"/>
      <c r="AE191" s="7"/>
      <c r="AF191" s="7"/>
      <c r="AG191" s="7"/>
      <c r="AH191" s="7"/>
      <c r="AI191" s="7"/>
      <c r="AJ191" s="7"/>
      <c r="AK191" s="7"/>
      <c r="AL191" s="7"/>
      <c r="AM191" s="7"/>
      <c r="AN191" s="7"/>
      <c r="AO191" s="7"/>
      <c r="AP191" s="7"/>
      <c r="AQ191" s="7"/>
      <c r="AR191" s="7"/>
      <c r="AS191" s="7"/>
      <c r="AT191" s="7">
        <v>0</v>
      </c>
      <c r="AU191" s="7">
        <v>0</v>
      </c>
      <c r="AV191" s="7">
        <v>0</v>
      </c>
      <c r="AW191" s="7">
        <v>0</v>
      </c>
      <c r="AX191" s="7">
        <v>0</v>
      </c>
      <c r="BG191" s="8">
        <v>42445</v>
      </c>
      <c r="BH191" s="5">
        <v>6</v>
      </c>
      <c r="BI191" s="5">
        <v>0</v>
      </c>
      <c r="BJ191" s="5">
        <v>0</v>
      </c>
      <c r="BK191" s="5">
        <f>Tableau1[[#This Row],[Base de financement]]-Tableau1[[#This Row],[Subvention ANRU]]-Tableau1[[#This Row],[Ville]]-Tableau1[[#This Row],[Plaine Commune]]-Tableau1[[#This Row],[Bailleurs]]-Tableau1[[#This Row],[CDC]]-Tableau1[[#This Row],[CD93]]-Tableau1[[#This Row],[CRIF]]-Tableau1[[#This Row],[Europe]]-Tableau1[[#This Row],[Autres]]</f>
        <v>0</v>
      </c>
      <c r="BL191" s="412">
        <f>S191-T191-V191-W191-Y191-Z191-AA191-AB191-AC191-AD191-AE191-AF191-AG191-AH191-AI191-AJ191-AK191-AL191-AM191-AN191-AO191-AP191-AQ191-AR191-AS191-AT191-AU191-AV191-AW191-AY191-BE191-BF191-Tableau1[[#This Row],[Ville de Pantin ]]-Tableau1[[#This Row],[Est-Ensemble ]]-Tableau1[[#This Row],[ASGO]]</f>
        <v>0</v>
      </c>
    </row>
    <row r="192" spans="1:64" ht="20.100000000000001" hidden="1" customHeight="1" x14ac:dyDescent="0.25">
      <c r="A192" s="5" t="s">
        <v>655</v>
      </c>
      <c r="B192" s="5" t="s">
        <v>662</v>
      </c>
      <c r="C192" s="14" t="s">
        <v>1304</v>
      </c>
      <c r="D192" s="5" t="s">
        <v>657</v>
      </c>
      <c r="F192" s="5" t="s">
        <v>658</v>
      </c>
      <c r="H192" s="404" t="s">
        <v>526</v>
      </c>
      <c r="J192" s="5" t="s">
        <v>53</v>
      </c>
      <c r="K192" s="5" t="s">
        <v>61</v>
      </c>
      <c r="L192" s="5" t="s">
        <v>243</v>
      </c>
      <c r="O192" s="5" t="s">
        <v>42</v>
      </c>
      <c r="P192" s="5" t="s">
        <v>663</v>
      </c>
      <c r="Q192" s="227">
        <v>30000</v>
      </c>
      <c r="R192" s="7">
        <v>36000</v>
      </c>
      <c r="S192" s="7">
        <v>30000</v>
      </c>
      <c r="T192" s="7">
        <v>15000</v>
      </c>
      <c r="U192" s="7"/>
      <c r="V192" s="7">
        <v>0</v>
      </c>
      <c r="W192" s="7">
        <v>0</v>
      </c>
      <c r="X192" s="7">
        <v>15000</v>
      </c>
      <c r="Y192" s="7"/>
      <c r="Z192" s="7"/>
      <c r="AA192" s="7"/>
      <c r="AB192" s="7"/>
      <c r="AC192" s="7"/>
      <c r="AD192" s="7"/>
      <c r="AE192" s="7"/>
      <c r="AF192" s="7"/>
      <c r="AG192" s="7">
        <v>15000</v>
      </c>
      <c r="AH192" s="7"/>
      <c r="AI192" s="7"/>
      <c r="AJ192" s="7"/>
      <c r="AK192" s="7"/>
      <c r="AL192" s="7"/>
      <c r="AM192" s="7"/>
      <c r="AN192" s="7"/>
      <c r="AO192" s="7"/>
      <c r="AP192" s="7"/>
      <c r="AQ192" s="7"/>
      <c r="AR192" s="7"/>
      <c r="AS192" s="7"/>
      <c r="AT192" s="7">
        <v>0</v>
      </c>
      <c r="AU192" s="7">
        <v>0</v>
      </c>
      <c r="AV192" s="7">
        <v>0</v>
      </c>
      <c r="AW192" s="7">
        <v>0</v>
      </c>
      <c r="AX192" s="7">
        <v>0</v>
      </c>
      <c r="BG192" s="8">
        <v>42736</v>
      </c>
      <c r="BH192" s="5">
        <v>4</v>
      </c>
      <c r="BI192" s="5">
        <v>414</v>
      </c>
      <c r="BJ192" s="5">
        <v>0</v>
      </c>
      <c r="BK192" s="5">
        <f>Tableau1[[#This Row],[Base de financement]]-Tableau1[[#This Row],[Subvention ANRU]]-Tableau1[[#This Row],[Ville]]-Tableau1[[#This Row],[Plaine Commune]]-Tableau1[[#This Row],[Bailleurs]]-Tableau1[[#This Row],[CDC]]-Tableau1[[#This Row],[CD93]]-Tableau1[[#This Row],[CRIF]]-Tableau1[[#This Row],[Europe]]-Tableau1[[#This Row],[Autres]]</f>
        <v>0</v>
      </c>
      <c r="BL192" s="412">
        <f>S192-T192-V192-W192-Y192-Z192-AA192-AB192-AC192-AD192-AE192-AF192-AG192-AH192-AI192-AJ192-AK192-AL192-AM192-AN192-AO192-AP192-AQ192-AR192-AS192-AT192-AU192-AV192-AW192-AY192-BE192-BF192-Tableau1[[#This Row],[Ville de Pantin ]]-Tableau1[[#This Row],[Est-Ensemble ]]-Tableau1[[#This Row],[ASGO]]</f>
        <v>0</v>
      </c>
    </row>
    <row r="193" spans="1:64" ht="20.100000000000001" hidden="1" customHeight="1" x14ac:dyDescent="0.25">
      <c r="A193" s="5" t="s">
        <v>655</v>
      </c>
      <c r="B193" s="5" t="s">
        <v>664</v>
      </c>
      <c r="C193" s="14" t="s">
        <v>1305</v>
      </c>
      <c r="D193" s="5" t="s">
        <v>657</v>
      </c>
      <c r="F193" s="5" t="s">
        <v>658</v>
      </c>
      <c r="H193" s="404" t="s">
        <v>665</v>
      </c>
      <c r="J193" s="5" t="s">
        <v>53</v>
      </c>
      <c r="K193" s="5" t="s">
        <v>61</v>
      </c>
      <c r="L193" s="5" t="s">
        <v>243</v>
      </c>
      <c r="O193" s="5" t="s">
        <v>42</v>
      </c>
      <c r="P193" s="5" t="s">
        <v>663</v>
      </c>
      <c r="Q193" s="227">
        <v>10000</v>
      </c>
      <c r="R193" s="7">
        <v>12000</v>
      </c>
      <c r="S193" s="7">
        <v>10000</v>
      </c>
      <c r="T193" s="7">
        <v>5000</v>
      </c>
      <c r="U193" s="7"/>
      <c r="V193" s="7">
        <v>0</v>
      </c>
      <c r="W193" s="7">
        <v>0</v>
      </c>
      <c r="X193" s="7">
        <v>5000</v>
      </c>
      <c r="Y193" s="7"/>
      <c r="Z193" s="7"/>
      <c r="AA193" s="7"/>
      <c r="AB193" s="7"/>
      <c r="AC193" s="7"/>
      <c r="AD193" s="7"/>
      <c r="AE193" s="7"/>
      <c r="AF193" s="7"/>
      <c r="AG193" s="7">
        <v>5000</v>
      </c>
      <c r="AH193" s="7"/>
      <c r="AI193" s="7"/>
      <c r="AJ193" s="7"/>
      <c r="AK193" s="7"/>
      <c r="AL193" s="7"/>
      <c r="AM193" s="7"/>
      <c r="AN193" s="7"/>
      <c r="AO193" s="7"/>
      <c r="AP193" s="7"/>
      <c r="AQ193" s="7"/>
      <c r="AR193" s="7"/>
      <c r="AS193" s="7"/>
      <c r="AT193" s="7">
        <v>0</v>
      </c>
      <c r="AU193" s="7">
        <v>0</v>
      </c>
      <c r="AV193" s="7">
        <v>0</v>
      </c>
      <c r="AW193" s="7">
        <v>0</v>
      </c>
      <c r="AX193" s="7">
        <v>0</v>
      </c>
      <c r="BG193" s="8">
        <v>42736</v>
      </c>
      <c r="BH193" s="5">
        <v>4</v>
      </c>
      <c r="BI193" s="5">
        <v>414</v>
      </c>
      <c r="BJ193" s="5">
        <v>0</v>
      </c>
      <c r="BK193" s="5">
        <f>Tableau1[[#This Row],[Base de financement]]-Tableau1[[#This Row],[Subvention ANRU]]-Tableau1[[#This Row],[Ville]]-Tableau1[[#This Row],[Plaine Commune]]-Tableau1[[#This Row],[Bailleurs]]-Tableau1[[#This Row],[CDC]]-Tableau1[[#This Row],[CD93]]-Tableau1[[#This Row],[CRIF]]-Tableau1[[#This Row],[Europe]]-Tableau1[[#This Row],[Autres]]</f>
        <v>0</v>
      </c>
      <c r="BL193" s="412">
        <f>S193-T193-V193-W193-Y193-Z193-AA193-AB193-AC193-AD193-AE193-AF193-AG193-AH193-AI193-AJ193-AK193-AL193-AM193-AN193-AO193-AP193-AQ193-AR193-AS193-AT193-AU193-AV193-AW193-AY193-BE193-BF193-Tableau1[[#This Row],[Ville de Pantin ]]-Tableau1[[#This Row],[Est-Ensemble ]]-Tableau1[[#This Row],[ASGO]]</f>
        <v>0</v>
      </c>
    </row>
    <row r="194" spans="1:64" ht="20.100000000000001" hidden="1" customHeight="1" x14ac:dyDescent="0.25">
      <c r="A194" s="5" t="s">
        <v>655</v>
      </c>
      <c r="B194" s="5" t="s">
        <v>666</v>
      </c>
      <c r="C194" s="14" t="s">
        <v>1306</v>
      </c>
      <c r="D194" s="5" t="s">
        <v>657</v>
      </c>
      <c r="F194" s="5" t="s">
        <v>658</v>
      </c>
      <c r="H194" s="404" t="s">
        <v>667</v>
      </c>
      <c r="J194" s="5" t="s">
        <v>53</v>
      </c>
      <c r="K194" s="5" t="s">
        <v>61</v>
      </c>
      <c r="L194" s="5" t="s">
        <v>243</v>
      </c>
      <c r="O194" s="5" t="s">
        <v>42</v>
      </c>
      <c r="P194" s="5" t="s">
        <v>663</v>
      </c>
      <c r="Q194" s="227">
        <v>30000</v>
      </c>
      <c r="R194" s="7">
        <v>36000</v>
      </c>
      <c r="S194" s="7">
        <v>30000</v>
      </c>
      <c r="T194" s="7">
        <v>15000</v>
      </c>
      <c r="U194" s="7"/>
      <c r="V194" s="7">
        <v>0</v>
      </c>
      <c r="W194" s="7">
        <v>0</v>
      </c>
      <c r="X194" s="7">
        <v>15000</v>
      </c>
      <c r="Y194" s="7"/>
      <c r="Z194" s="7"/>
      <c r="AA194" s="7"/>
      <c r="AB194" s="7"/>
      <c r="AC194" s="7"/>
      <c r="AD194" s="7"/>
      <c r="AE194" s="7"/>
      <c r="AF194" s="7"/>
      <c r="AG194" s="7">
        <v>15000</v>
      </c>
      <c r="AH194" s="7"/>
      <c r="AI194" s="7"/>
      <c r="AJ194" s="7"/>
      <c r="AK194" s="7"/>
      <c r="AL194" s="7"/>
      <c r="AM194" s="7"/>
      <c r="AN194" s="7"/>
      <c r="AO194" s="7"/>
      <c r="AP194" s="7"/>
      <c r="AQ194" s="7"/>
      <c r="AR194" s="7"/>
      <c r="AS194" s="7"/>
      <c r="AT194" s="7">
        <v>0</v>
      </c>
      <c r="AU194" s="7">
        <v>0</v>
      </c>
      <c r="AV194" s="7">
        <v>0</v>
      </c>
      <c r="AW194" s="7">
        <v>0</v>
      </c>
      <c r="AX194" s="7">
        <v>0</v>
      </c>
      <c r="BG194" s="8">
        <v>42736</v>
      </c>
      <c r="BH194" s="5">
        <v>6</v>
      </c>
      <c r="BI194" s="5">
        <v>414</v>
      </c>
      <c r="BJ194" s="5">
        <v>0</v>
      </c>
      <c r="BK194" s="5">
        <f>Tableau1[[#This Row],[Base de financement]]-Tableau1[[#This Row],[Subvention ANRU]]-Tableau1[[#This Row],[Ville]]-Tableau1[[#This Row],[Plaine Commune]]-Tableau1[[#This Row],[Bailleurs]]-Tableau1[[#This Row],[CDC]]-Tableau1[[#This Row],[CD93]]-Tableau1[[#This Row],[CRIF]]-Tableau1[[#This Row],[Europe]]-Tableau1[[#This Row],[Autres]]</f>
        <v>0</v>
      </c>
      <c r="BL194" s="412">
        <f>S194-T194-V194-W194-Y194-Z194-AA194-AB194-AC194-AD194-AE194-AF194-AG194-AH194-AI194-AJ194-AK194-AL194-AM194-AN194-AO194-AP194-AQ194-AR194-AS194-AT194-AU194-AV194-AW194-AY194-BE194-BF194-Tableau1[[#This Row],[Ville de Pantin ]]-Tableau1[[#This Row],[Est-Ensemble ]]-Tableau1[[#This Row],[ASGO]]</f>
        <v>0</v>
      </c>
    </row>
    <row r="195" spans="1:64" ht="20.100000000000001" hidden="1" customHeight="1" x14ac:dyDescent="0.25">
      <c r="A195" s="5" t="s">
        <v>655</v>
      </c>
      <c r="B195" s="5" t="s">
        <v>668</v>
      </c>
      <c r="C195" s="14" t="s">
        <v>1307</v>
      </c>
      <c r="D195" s="5" t="s">
        <v>657</v>
      </c>
      <c r="F195" s="5" t="s">
        <v>658</v>
      </c>
      <c r="H195" s="404" t="s">
        <v>669</v>
      </c>
      <c r="J195" s="5" t="s">
        <v>53</v>
      </c>
      <c r="K195" s="5" t="s">
        <v>61</v>
      </c>
      <c r="L195" s="5" t="s">
        <v>243</v>
      </c>
      <c r="O195" s="5" t="s">
        <v>42</v>
      </c>
      <c r="P195" s="5" t="s">
        <v>663</v>
      </c>
      <c r="Q195" s="227">
        <v>20000</v>
      </c>
      <c r="R195" s="7">
        <v>24000</v>
      </c>
      <c r="S195" s="7">
        <v>20000</v>
      </c>
      <c r="T195" s="7">
        <v>10000</v>
      </c>
      <c r="U195" s="7"/>
      <c r="V195" s="7">
        <v>0</v>
      </c>
      <c r="W195" s="7">
        <v>0</v>
      </c>
      <c r="X195" s="7">
        <v>10000</v>
      </c>
      <c r="Y195" s="7"/>
      <c r="Z195" s="7"/>
      <c r="AA195" s="7"/>
      <c r="AB195" s="7"/>
      <c r="AC195" s="7"/>
      <c r="AD195" s="7"/>
      <c r="AE195" s="7"/>
      <c r="AF195" s="7"/>
      <c r="AG195" s="7">
        <v>10000</v>
      </c>
      <c r="AH195" s="7"/>
      <c r="AI195" s="7"/>
      <c r="AJ195" s="7"/>
      <c r="AK195" s="7"/>
      <c r="AL195" s="7"/>
      <c r="AM195" s="7"/>
      <c r="AN195" s="7"/>
      <c r="AO195" s="7"/>
      <c r="AP195" s="7"/>
      <c r="AQ195" s="7"/>
      <c r="AR195" s="7"/>
      <c r="AS195" s="7"/>
      <c r="AT195" s="7">
        <v>0</v>
      </c>
      <c r="AU195" s="7">
        <v>0</v>
      </c>
      <c r="AV195" s="7">
        <v>0</v>
      </c>
      <c r="AW195" s="7">
        <v>0</v>
      </c>
      <c r="AX195" s="7">
        <v>0</v>
      </c>
      <c r="BG195" s="8">
        <v>42887</v>
      </c>
      <c r="BH195" s="5">
        <v>6</v>
      </c>
      <c r="BI195" s="5">
        <v>414</v>
      </c>
      <c r="BJ195" s="5">
        <v>0</v>
      </c>
      <c r="BK195" s="5">
        <f>Tableau1[[#This Row],[Base de financement]]-Tableau1[[#This Row],[Subvention ANRU]]-Tableau1[[#This Row],[Ville]]-Tableau1[[#This Row],[Plaine Commune]]-Tableau1[[#This Row],[Bailleurs]]-Tableau1[[#This Row],[CDC]]-Tableau1[[#This Row],[CD93]]-Tableau1[[#This Row],[CRIF]]-Tableau1[[#This Row],[Europe]]-Tableau1[[#This Row],[Autres]]</f>
        <v>0</v>
      </c>
      <c r="BL195" s="412">
        <f>S195-T195-V195-W195-Y195-Z195-AA195-AB195-AC195-AD195-AE195-AF195-AG195-AH195-AI195-AJ195-AK195-AL195-AM195-AN195-AO195-AP195-AQ195-AR195-AS195-AT195-AU195-AV195-AW195-AY195-BE195-BF195-Tableau1[[#This Row],[Ville de Pantin ]]-Tableau1[[#This Row],[Est-Ensemble ]]-Tableau1[[#This Row],[ASGO]]</f>
        <v>0</v>
      </c>
    </row>
    <row r="196" spans="1:64" ht="20.100000000000001" hidden="1" customHeight="1" x14ac:dyDescent="0.25">
      <c r="A196" s="5" t="s">
        <v>655</v>
      </c>
      <c r="B196" s="5" t="s">
        <v>670</v>
      </c>
      <c r="C196" s="14" t="s">
        <v>1308</v>
      </c>
      <c r="D196" s="5" t="s">
        <v>657</v>
      </c>
      <c r="F196" s="5" t="s">
        <v>658</v>
      </c>
      <c r="H196" s="404" t="s">
        <v>671</v>
      </c>
      <c r="J196" s="5" t="s">
        <v>53</v>
      </c>
      <c r="K196" s="5" t="s">
        <v>61</v>
      </c>
      <c r="L196" s="5" t="s">
        <v>243</v>
      </c>
      <c r="O196" s="5" t="s">
        <v>42</v>
      </c>
      <c r="P196" s="5" t="s">
        <v>663</v>
      </c>
      <c r="Q196" s="227">
        <v>10000</v>
      </c>
      <c r="R196" s="7">
        <v>12000</v>
      </c>
      <c r="S196" s="7">
        <v>10000</v>
      </c>
      <c r="T196" s="7">
        <v>5000</v>
      </c>
      <c r="U196" s="7"/>
      <c r="V196" s="7">
        <v>0</v>
      </c>
      <c r="W196" s="7">
        <v>0</v>
      </c>
      <c r="X196" s="7">
        <v>5000</v>
      </c>
      <c r="Y196" s="7"/>
      <c r="Z196" s="7"/>
      <c r="AA196" s="7"/>
      <c r="AB196" s="7"/>
      <c r="AC196" s="7"/>
      <c r="AD196" s="7"/>
      <c r="AE196" s="7"/>
      <c r="AF196" s="7"/>
      <c r="AG196" s="7">
        <v>5000</v>
      </c>
      <c r="AH196" s="7"/>
      <c r="AI196" s="7"/>
      <c r="AJ196" s="7"/>
      <c r="AK196" s="7"/>
      <c r="AL196" s="7"/>
      <c r="AM196" s="7"/>
      <c r="AN196" s="7"/>
      <c r="AO196" s="7"/>
      <c r="AP196" s="7"/>
      <c r="AQ196" s="7"/>
      <c r="AR196" s="7"/>
      <c r="AS196" s="7"/>
      <c r="AT196" s="7">
        <v>0</v>
      </c>
      <c r="AU196" s="7">
        <v>0</v>
      </c>
      <c r="AV196" s="7">
        <v>0</v>
      </c>
      <c r="AW196" s="7">
        <v>0</v>
      </c>
      <c r="AX196" s="7">
        <v>0</v>
      </c>
      <c r="BG196" s="8">
        <v>42522</v>
      </c>
      <c r="BH196" s="5">
        <v>4</v>
      </c>
      <c r="BI196" s="5">
        <v>414</v>
      </c>
      <c r="BJ196" s="5">
        <v>0</v>
      </c>
      <c r="BK196" s="5">
        <f>Tableau1[[#This Row],[Base de financement]]-Tableau1[[#This Row],[Subvention ANRU]]-Tableau1[[#This Row],[Ville]]-Tableau1[[#This Row],[Plaine Commune]]-Tableau1[[#This Row],[Bailleurs]]-Tableau1[[#This Row],[CDC]]-Tableau1[[#This Row],[CD93]]-Tableau1[[#This Row],[CRIF]]-Tableau1[[#This Row],[Europe]]-Tableau1[[#This Row],[Autres]]</f>
        <v>0</v>
      </c>
      <c r="BL196" s="412">
        <f>S196-T196-V196-W196-Y196-Z196-AA196-AB196-AC196-AD196-AE196-AF196-AG196-AH196-AI196-AJ196-AK196-AL196-AM196-AN196-AO196-AP196-AQ196-AR196-AS196-AT196-AU196-AV196-AW196-AY196-BE196-BF196-Tableau1[[#This Row],[Ville de Pantin ]]-Tableau1[[#This Row],[Est-Ensemble ]]-Tableau1[[#This Row],[ASGO]]</f>
        <v>0</v>
      </c>
    </row>
    <row r="197" spans="1:64" ht="20.100000000000001" hidden="1" customHeight="1" x14ac:dyDescent="0.25">
      <c r="A197" s="5" t="s">
        <v>655</v>
      </c>
      <c r="B197" s="5" t="s">
        <v>672</v>
      </c>
      <c r="C197" s="14" t="s">
        <v>1309</v>
      </c>
      <c r="D197" s="5" t="s">
        <v>657</v>
      </c>
      <c r="F197" s="5" t="s">
        <v>658</v>
      </c>
      <c r="H197" s="404" t="s">
        <v>673</v>
      </c>
      <c r="J197" s="5" t="s">
        <v>53</v>
      </c>
      <c r="K197" s="5" t="s">
        <v>61</v>
      </c>
      <c r="L197" s="5" t="s">
        <v>243</v>
      </c>
      <c r="O197" s="5" t="s">
        <v>42</v>
      </c>
      <c r="P197" s="5" t="s">
        <v>674</v>
      </c>
      <c r="Q197" s="227">
        <v>40000</v>
      </c>
      <c r="R197" s="7">
        <v>48000</v>
      </c>
      <c r="S197" s="7">
        <v>40000</v>
      </c>
      <c r="T197" s="7">
        <v>20000</v>
      </c>
      <c r="U197" s="7"/>
      <c r="V197" s="7">
        <v>0</v>
      </c>
      <c r="W197" s="7">
        <v>10000</v>
      </c>
      <c r="X197" s="7">
        <v>10000</v>
      </c>
      <c r="Y197" s="7"/>
      <c r="Z197" s="7"/>
      <c r="AA197" s="7"/>
      <c r="AB197" s="7"/>
      <c r="AC197" s="7"/>
      <c r="AD197" s="7"/>
      <c r="AE197" s="7"/>
      <c r="AF197" s="7"/>
      <c r="AG197" s="7">
        <v>10000</v>
      </c>
      <c r="AH197" s="7"/>
      <c r="AI197" s="7"/>
      <c r="AJ197" s="7"/>
      <c r="AK197" s="7"/>
      <c r="AL197" s="7"/>
      <c r="AM197" s="7"/>
      <c r="AN197" s="7"/>
      <c r="AO197" s="7"/>
      <c r="AP197" s="7"/>
      <c r="AQ197" s="7"/>
      <c r="AR197" s="7"/>
      <c r="AS197" s="7"/>
      <c r="AT197" s="7">
        <v>0</v>
      </c>
      <c r="AU197" s="7">
        <v>0</v>
      </c>
      <c r="AV197" s="7">
        <v>0</v>
      </c>
      <c r="AW197" s="7">
        <v>0</v>
      </c>
      <c r="AX197" s="7">
        <v>0</v>
      </c>
      <c r="BG197" s="8">
        <v>42736</v>
      </c>
      <c r="BH197" s="5">
        <v>6</v>
      </c>
      <c r="BI197" s="5">
        <v>414</v>
      </c>
      <c r="BJ197" s="5">
        <v>0</v>
      </c>
      <c r="BK197" s="5">
        <f>Tableau1[[#This Row],[Base de financement]]-Tableau1[[#This Row],[Subvention ANRU]]-Tableau1[[#This Row],[Ville]]-Tableau1[[#This Row],[Plaine Commune]]-Tableau1[[#This Row],[Bailleurs]]-Tableau1[[#This Row],[CDC]]-Tableau1[[#This Row],[CD93]]-Tableau1[[#This Row],[CRIF]]-Tableau1[[#This Row],[Europe]]-Tableau1[[#This Row],[Autres]]</f>
        <v>0</v>
      </c>
      <c r="BL197" s="412">
        <f>S197-T197-V197-W197-Y197-Z197-AA197-AB197-AC197-AD197-AE197-AF197-AG197-AH197-AI197-AJ197-AK197-AL197-AM197-AN197-AO197-AP197-AQ197-AR197-AS197-AT197-AU197-AV197-AW197-AY197-BE197-BF197-Tableau1[[#This Row],[Ville de Pantin ]]-Tableau1[[#This Row],[Est-Ensemble ]]-Tableau1[[#This Row],[ASGO]]</f>
        <v>0</v>
      </c>
    </row>
    <row r="198" spans="1:64" ht="20.100000000000001" hidden="1" customHeight="1" x14ac:dyDescent="0.25">
      <c r="A198" s="5" t="s">
        <v>655</v>
      </c>
      <c r="B198" s="5" t="s">
        <v>675</v>
      </c>
      <c r="C198" s="14" t="s">
        <v>1310</v>
      </c>
      <c r="D198" s="5" t="s">
        <v>657</v>
      </c>
      <c r="F198" s="5" t="s">
        <v>658</v>
      </c>
      <c r="H198" s="404" t="s">
        <v>676</v>
      </c>
      <c r="J198" s="5" t="s">
        <v>53</v>
      </c>
      <c r="K198" s="5" t="s">
        <v>61</v>
      </c>
      <c r="L198" s="5" t="s">
        <v>243</v>
      </c>
      <c r="O198" s="5" t="s">
        <v>42</v>
      </c>
      <c r="P198" s="5" t="s">
        <v>677</v>
      </c>
      <c r="Q198" s="227">
        <v>10000</v>
      </c>
      <c r="R198" s="7">
        <v>12000</v>
      </c>
      <c r="S198" s="7">
        <v>10000</v>
      </c>
      <c r="T198" s="7">
        <v>5000</v>
      </c>
      <c r="U198" s="7"/>
      <c r="V198" s="7">
        <v>0</v>
      </c>
      <c r="W198" s="7">
        <v>0</v>
      </c>
      <c r="X198" s="7">
        <v>5000</v>
      </c>
      <c r="Y198" s="7"/>
      <c r="Z198" s="7"/>
      <c r="AA198" s="7"/>
      <c r="AB198" s="7"/>
      <c r="AC198" s="7"/>
      <c r="AD198" s="7"/>
      <c r="AE198" s="7"/>
      <c r="AF198" s="7"/>
      <c r="AG198" s="7">
        <v>5000</v>
      </c>
      <c r="AH198" s="7"/>
      <c r="AI198" s="7"/>
      <c r="AJ198" s="7"/>
      <c r="AK198" s="7"/>
      <c r="AL198" s="7"/>
      <c r="AM198" s="7"/>
      <c r="AN198" s="7"/>
      <c r="AO198" s="7"/>
      <c r="AP198" s="7"/>
      <c r="AQ198" s="7"/>
      <c r="AR198" s="7"/>
      <c r="AS198" s="7"/>
      <c r="AT198" s="7">
        <v>0</v>
      </c>
      <c r="AU198" s="7">
        <v>0</v>
      </c>
      <c r="AV198" s="7">
        <v>0</v>
      </c>
      <c r="AW198" s="7">
        <v>0</v>
      </c>
      <c r="AX198" s="7">
        <v>0</v>
      </c>
      <c r="BG198" s="8">
        <v>42522</v>
      </c>
      <c r="BH198" s="5">
        <v>4</v>
      </c>
      <c r="BI198" s="5">
        <v>414</v>
      </c>
      <c r="BJ198" s="5">
        <v>0</v>
      </c>
      <c r="BK198" s="5">
        <f>Tableau1[[#This Row],[Base de financement]]-Tableau1[[#This Row],[Subvention ANRU]]-Tableau1[[#This Row],[Ville]]-Tableau1[[#This Row],[Plaine Commune]]-Tableau1[[#This Row],[Bailleurs]]-Tableau1[[#This Row],[CDC]]-Tableau1[[#This Row],[CD93]]-Tableau1[[#This Row],[CRIF]]-Tableau1[[#This Row],[Europe]]-Tableau1[[#This Row],[Autres]]</f>
        <v>0</v>
      </c>
      <c r="BL198" s="412">
        <f>S198-T198-V198-W198-Y198-Z198-AA198-AB198-AC198-AD198-AE198-AF198-AG198-AH198-AI198-AJ198-AK198-AL198-AM198-AN198-AO198-AP198-AQ198-AR198-AS198-AT198-AU198-AV198-AW198-AY198-BE198-BF198-Tableau1[[#This Row],[Ville de Pantin ]]-Tableau1[[#This Row],[Est-Ensemble ]]-Tableau1[[#This Row],[ASGO]]</f>
        <v>0</v>
      </c>
    </row>
    <row r="199" spans="1:64" ht="20.100000000000001" hidden="1" customHeight="1" x14ac:dyDescent="0.25">
      <c r="A199" s="5" t="s">
        <v>655</v>
      </c>
      <c r="B199" s="5" t="s">
        <v>678</v>
      </c>
      <c r="C199" s="14" t="s">
        <v>1311</v>
      </c>
      <c r="D199" s="5" t="s">
        <v>657</v>
      </c>
      <c r="F199" s="5" t="s">
        <v>658</v>
      </c>
      <c r="H199" s="404" t="s">
        <v>679</v>
      </c>
      <c r="J199" s="5" t="s">
        <v>136</v>
      </c>
      <c r="K199" s="5" t="s">
        <v>69</v>
      </c>
      <c r="L199" s="5" t="s">
        <v>243</v>
      </c>
      <c r="O199" s="5" t="s">
        <v>42</v>
      </c>
      <c r="P199" s="5" t="s">
        <v>680</v>
      </c>
      <c r="Q199" s="227">
        <v>10000</v>
      </c>
      <c r="R199" s="7">
        <v>12000</v>
      </c>
      <c r="S199" s="7">
        <v>10000</v>
      </c>
      <c r="T199" s="7">
        <v>5000</v>
      </c>
      <c r="U199" s="7"/>
      <c r="V199" s="7">
        <v>0</v>
      </c>
      <c r="W199" s="7">
        <v>0</v>
      </c>
      <c r="X199" s="7">
        <v>5000</v>
      </c>
      <c r="Y199" s="7"/>
      <c r="Z199" s="7"/>
      <c r="AA199" s="7"/>
      <c r="AB199" s="7"/>
      <c r="AC199" s="7"/>
      <c r="AD199" s="7"/>
      <c r="AE199" s="7"/>
      <c r="AF199" s="7"/>
      <c r="AG199" s="7">
        <v>5000</v>
      </c>
      <c r="AH199" s="7"/>
      <c r="AI199" s="7"/>
      <c r="AJ199" s="7"/>
      <c r="AK199" s="7"/>
      <c r="AL199" s="7"/>
      <c r="AM199" s="7"/>
      <c r="AN199" s="7"/>
      <c r="AO199" s="7"/>
      <c r="AP199" s="7"/>
      <c r="AQ199" s="7"/>
      <c r="AR199" s="7"/>
      <c r="AS199" s="7"/>
      <c r="AT199" s="7">
        <v>0</v>
      </c>
      <c r="AU199" s="7">
        <v>0</v>
      </c>
      <c r="AV199" s="7">
        <v>0</v>
      </c>
      <c r="AW199" s="7">
        <v>0</v>
      </c>
      <c r="AX199" s="7">
        <v>0</v>
      </c>
      <c r="BG199" s="8">
        <v>42736</v>
      </c>
      <c r="BH199" s="5">
        <v>4</v>
      </c>
      <c r="BI199" s="5">
        <v>414</v>
      </c>
      <c r="BJ199" s="5">
        <v>0</v>
      </c>
      <c r="BK199" s="5">
        <f>Tableau1[[#This Row],[Base de financement]]-Tableau1[[#This Row],[Subvention ANRU]]-Tableau1[[#This Row],[Ville]]-Tableau1[[#This Row],[Plaine Commune]]-Tableau1[[#This Row],[Bailleurs]]-Tableau1[[#This Row],[CDC]]-Tableau1[[#This Row],[CD93]]-Tableau1[[#This Row],[CRIF]]-Tableau1[[#This Row],[Europe]]-Tableau1[[#This Row],[Autres]]</f>
        <v>0</v>
      </c>
      <c r="BL199" s="412">
        <f>S199-T199-V199-W199-Y199-Z199-AA199-AB199-AC199-AD199-AE199-AF199-AG199-AH199-AI199-AJ199-AK199-AL199-AM199-AN199-AO199-AP199-AQ199-AR199-AS199-AT199-AU199-AV199-AW199-AY199-BE199-BF199-Tableau1[[#This Row],[Ville de Pantin ]]-Tableau1[[#This Row],[Est-Ensemble ]]-Tableau1[[#This Row],[ASGO]]</f>
        <v>0</v>
      </c>
    </row>
    <row r="200" spans="1:64" ht="20.100000000000001" hidden="1" customHeight="1" x14ac:dyDescent="0.25">
      <c r="A200" s="5" t="s">
        <v>655</v>
      </c>
      <c r="B200" s="5" t="s">
        <v>681</v>
      </c>
      <c r="C200" s="14" t="s">
        <v>1312</v>
      </c>
      <c r="D200" s="5" t="s">
        <v>657</v>
      </c>
      <c r="F200" s="5" t="s">
        <v>658</v>
      </c>
      <c r="H200" s="404" t="s">
        <v>682</v>
      </c>
      <c r="J200" s="5" t="s">
        <v>53</v>
      </c>
      <c r="K200" s="5" t="s">
        <v>61</v>
      </c>
      <c r="L200" s="5" t="s">
        <v>317</v>
      </c>
      <c r="O200" s="5" t="s">
        <v>42</v>
      </c>
      <c r="P200" s="5" t="s">
        <v>683</v>
      </c>
      <c r="Q200" s="227">
        <v>20833.333333333299</v>
      </c>
      <c r="R200" s="7">
        <v>25000</v>
      </c>
      <c r="S200" s="7">
        <v>20833</v>
      </c>
      <c r="T200" s="7">
        <v>6250</v>
      </c>
      <c r="U200" s="7" t="s">
        <v>684</v>
      </c>
      <c r="V200" s="7">
        <v>0</v>
      </c>
      <c r="W200" s="7">
        <v>0</v>
      </c>
      <c r="X200" s="7">
        <v>14583</v>
      </c>
      <c r="Y200" s="7"/>
      <c r="Z200" s="7"/>
      <c r="AA200" s="7"/>
      <c r="AB200" s="7"/>
      <c r="AC200" s="7"/>
      <c r="AD200" s="7"/>
      <c r="AE200" s="7"/>
      <c r="AF200" s="7"/>
      <c r="AG200" s="7"/>
      <c r="AH200" s="7"/>
      <c r="AI200" s="7"/>
      <c r="AJ200" s="7">
        <v>14583</v>
      </c>
      <c r="AK200" s="7"/>
      <c r="AL200" s="7"/>
      <c r="AM200" s="7"/>
      <c r="AN200" s="7"/>
      <c r="AO200" s="7"/>
      <c r="AP200" s="7"/>
      <c r="AQ200" s="7"/>
      <c r="AR200" s="7"/>
      <c r="AS200" s="7"/>
      <c r="AT200" s="7">
        <v>0</v>
      </c>
      <c r="AU200" s="7">
        <v>0</v>
      </c>
      <c r="AV200" s="7">
        <v>0</v>
      </c>
      <c r="AW200" s="7">
        <v>0</v>
      </c>
      <c r="AX200" s="7">
        <v>0</v>
      </c>
      <c r="BG200" s="8">
        <v>42522</v>
      </c>
      <c r="BH200" s="5">
        <v>3</v>
      </c>
      <c r="BI200" s="5">
        <v>483</v>
      </c>
      <c r="BJ200" s="5">
        <v>0</v>
      </c>
      <c r="BK200" s="5">
        <f>Tableau1[[#This Row],[Base de financement]]-Tableau1[[#This Row],[Subvention ANRU]]-Tableau1[[#This Row],[Ville]]-Tableau1[[#This Row],[Plaine Commune]]-Tableau1[[#This Row],[Bailleurs]]-Tableau1[[#This Row],[CDC]]-Tableau1[[#This Row],[CD93]]-Tableau1[[#This Row],[CRIF]]-Tableau1[[#This Row],[Europe]]-Tableau1[[#This Row],[Autres]]</f>
        <v>0</v>
      </c>
      <c r="BL200" s="412">
        <f>S200-T200-V200-W200-Y200-Z200-AA200-AB200-AC200-AD200-AE200-AF200-AG200-AH200-AI200-AJ200-AK200-AL200-AM200-AN200-AO200-AP200-AQ200-AR200-AS200-AT200-AU200-AV200-AW200-AY200-BE200-BF200-Tableau1[[#This Row],[Ville de Pantin ]]-Tableau1[[#This Row],[Est-Ensemble ]]-Tableau1[[#This Row],[ASGO]]</f>
        <v>0</v>
      </c>
    </row>
    <row r="201" spans="1:64" ht="20.100000000000001" hidden="1" customHeight="1" x14ac:dyDescent="0.25">
      <c r="A201" s="5" t="s">
        <v>655</v>
      </c>
      <c r="B201" s="5" t="s">
        <v>685</v>
      </c>
      <c r="C201" s="14" t="s">
        <v>1313</v>
      </c>
      <c r="D201" s="5" t="s">
        <v>657</v>
      </c>
      <c r="F201" s="5" t="s">
        <v>658</v>
      </c>
      <c r="H201" s="404" t="s">
        <v>686</v>
      </c>
      <c r="J201" s="5" t="s">
        <v>53</v>
      </c>
      <c r="K201" s="5" t="s">
        <v>61</v>
      </c>
      <c r="L201" s="5" t="s">
        <v>317</v>
      </c>
      <c r="O201" s="5" t="s">
        <v>42</v>
      </c>
      <c r="P201" s="5" t="s">
        <v>683</v>
      </c>
      <c r="Q201" s="227">
        <v>20000</v>
      </c>
      <c r="R201" s="7">
        <v>24000</v>
      </c>
      <c r="S201" s="7">
        <v>20000</v>
      </c>
      <c r="T201" s="7">
        <v>6000</v>
      </c>
      <c r="U201" s="7" t="s">
        <v>684</v>
      </c>
      <c r="V201" s="7">
        <v>0</v>
      </c>
      <c r="W201" s="7">
        <v>0</v>
      </c>
      <c r="X201" s="7">
        <v>14000</v>
      </c>
      <c r="Y201" s="7"/>
      <c r="Z201" s="7"/>
      <c r="AA201" s="7"/>
      <c r="AB201" s="7"/>
      <c r="AC201" s="7"/>
      <c r="AD201" s="7"/>
      <c r="AE201" s="7"/>
      <c r="AF201" s="7"/>
      <c r="AG201" s="7"/>
      <c r="AH201" s="7"/>
      <c r="AI201" s="7"/>
      <c r="AJ201" s="7">
        <v>14000</v>
      </c>
      <c r="AK201" s="7"/>
      <c r="AL201" s="7"/>
      <c r="AM201" s="7"/>
      <c r="AN201" s="7"/>
      <c r="AO201" s="7"/>
      <c r="AP201" s="7"/>
      <c r="AQ201" s="7"/>
      <c r="AR201" s="7"/>
      <c r="AS201" s="7"/>
      <c r="AT201" s="7">
        <v>0</v>
      </c>
      <c r="AU201" s="7">
        <v>0</v>
      </c>
      <c r="AV201" s="7">
        <v>0</v>
      </c>
      <c r="AW201" s="7">
        <v>0</v>
      </c>
      <c r="AX201" s="7">
        <v>0</v>
      </c>
      <c r="BG201" s="8">
        <v>42522</v>
      </c>
      <c r="BH201" s="5">
        <v>2</v>
      </c>
      <c r="BI201" s="5">
        <v>483</v>
      </c>
      <c r="BJ201" s="5">
        <v>0</v>
      </c>
      <c r="BK201" s="5">
        <f>Tableau1[[#This Row],[Base de financement]]-Tableau1[[#This Row],[Subvention ANRU]]-Tableau1[[#This Row],[Ville]]-Tableau1[[#This Row],[Plaine Commune]]-Tableau1[[#This Row],[Bailleurs]]-Tableau1[[#This Row],[CDC]]-Tableau1[[#This Row],[CD93]]-Tableau1[[#This Row],[CRIF]]-Tableau1[[#This Row],[Europe]]-Tableau1[[#This Row],[Autres]]</f>
        <v>0</v>
      </c>
      <c r="BL201" s="412">
        <f>S201-T201-V201-W201-Y201-Z201-AA201-AB201-AC201-AD201-AE201-AF201-AG201-AH201-AI201-AJ201-AK201-AL201-AM201-AN201-AO201-AP201-AQ201-AR201-AS201-AT201-AU201-AV201-AW201-AY201-BE201-BF201-Tableau1[[#This Row],[Ville de Pantin ]]-Tableau1[[#This Row],[Est-Ensemble ]]-Tableau1[[#This Row],[ASGO]]</f>
        <v>0</v>
      </c>
    </row>
    <row r="202" spans="1:64" ht="20.100000000000001" hidden="1" customHeight="1" x14ac:dyDescent="0.25">
      <c r="A202" s="5" t="s">
        <v>655</v>
      </c>
      <c r="B202" s="5" t="s">
        <v>687</v>
      </c>
      <c r="C202" s="14" t="s">
        <v>1314</v>
      </c>
      <c r="D202" s="5" t="s">
        <v>657</v>
      </c>
      <c r="F202" s="5" t="s">
        <v>658</v>
      </c>
      <c r="H202" s="404" t="s">
        <v>688</v>
      </c>
      <c r="J202" s="5" t="s">
        <v>53</v>
      </c>
      <c r="K202" s="5" t="s">
        <v>61</v>
      </c>
      <c r="L202" s="5" t="s">
        <v>317</v>
      </c>
      <c r="O202" s="5" t="s">
        <v>42</v>
      </c>
      <c r="P202" s="5" t="s">
        <v>683</v>
      </c>
      <c r="Q202" s="227">
        <v>29166.666666666701</v>
      </c>
      <c r="R202" s="7">
        <v>35000</v>
      </c>
      <c r="S202" s="7">
        <v>29167</v>
      </c>
      <c r="T202" s="7">
        <v>8750</v>
      </c>
      <c r="U202" s="7" t="s">
        <v>684</v>
      </c>
      <c r="V202" s="7">
        <v>0</v>
      </c>
      <c r="W202" s="7">
        <v>0</v>
      </c>
      <c r="X202" s="7">
        <v>20417</v>
      </c>
      <c r="Y202" s="7"/>
      <c r="Z202" s="7"/>
      <c r="AA202" s="7"/>
      <c r="AB202" s="7"/>
      <c r="AC202" s="7"/>
      <c r="AD202" s="7"/>
      <c r="AE202" s="7"/>
      <c r="AF202" s="7"/>
      <c r="AG202" s="7"/>
      <c r="AH202" s="7"/>
      <c r="AI202" s="7"/>
      <c r="AJ202" s="7">
        <v>20417</v>
      </c>
      <c r="AK202" s="7"/>
      <c r="AL202" s="7"/>
      <c r="AM202" s="7"/>
      <c r="AN202" s="7"/>
      <c r="AO202" s="7"/>
      <c r="AP202" s="7"/>
      <c r="AQ202" s="7"/>
      <c r="AR202" s="7"/>
      <c r="AS202" s="7"/>
      <c r="AT202" s="7">
        <v>0</v>
      </c>
      <c r="AU202" s="7">
        <v>0</v>
      </c>
      <c r="AV202" s="7">
        <v>0</v>
      </c>
      <c r="AW202" s="7">
        <v>0</v>
      </c>
      <c r="AX202" s="7">
        <v>0</v>
      </c>
      <c r="BG202" s="8">
        <v>42522</v>
      </c>
      <c r="BH202" s="5">
        <v>2</v>
      </c>
      <c r="BI202" s="5">
        <v>483</v>
      </c>
      <c r="BJ202" s="5">
        <v>0</v>
      </c>
      <c r="BK202" s="5">
        <f>Tableau1[[#This Row],[Base de financement]]-Tableau1[[#This Row],[Subvention ANRU]]-Tableau1[[#This Row],[Ville]]-Tableau1[[#This Row],[Plaine Commune]]-Tableau1[[#This Row],[Bailleurs]]-Tableau1[[#This Row],[CDC]]-Tableau1[[#This Row],[CD93]]-Tableau1[[#This Row],[CRIF]]-Tableau1[[#This Row],[Europe]]-Tableau1[[#This Row],[Autres]]</f>
        <v>0</v>
      </c>
      <c r="BL202" s="412">
        <f>S202-T202-V202-W202-Y202-Z202-AA202-AB202-AC202-AD202-AE202-AF202-AG202-AH202-AI202-AJ202-AK202-AL202-AM202-AN202-AO202-AP202-AQ202-AR202-AS202-AT202-AU202-AV202-AW202-AY202-BE202-BF202-Tableau1[[#This Row],[Ville de Pantin ]]-Tableau1[[#This Row],[Est-Ensemble ]]-Tableau1[[#This Row],[ASGO]]</f>
        <v>0</v>
      </c>
    </row>
    <row r="203" spans="1:64" ht="20.100000000000001" hidden="1" customHeight="1" x14ac:dyDescent="0.25">
      <c r="A203" s="264" t="s">
        <v>655</v>
      </c>
      <c r="B203" s="264" t="s">
        <v>691</v>
      </c>
      <c r="C203" s="14" t="s">
        <v>1315</v>
      </c>
      <c r="D203" s="264" t="s">
        <v>657</v>
      </c>
      <c r="E203" s="264"/>
      <c r="F203" s="264" t="s">
        <v>658</v>
      </c>
      <c r="G203" s="264"/>
      <c r="H203" s="460" t="s">
        <v>692</v>
      </c>
      <c r="I203" s="264"/>
      <c r="J203" s="264" t="s">
        <v>68</v>
      </c>
      <c r="K203" s="264" t="s">
        <v>69</v>
      </c>
      <c r="L203" s="264" t="s">
        <v>693</v>
      </c>
      <c r="M203" s="264"/>
      <c r="N203" s="264"/>
      <c r="O203" s="264" t="s">
        <v>42</v>
      </c>
      <c r="P203" s="264" t="s">
        <v>694</v>
      </c>
      <c r="Q203" s="405">
        <v>50000</v>
      </c>
      <c r="R203" s="265">
        <v>60000</v>
      </c>
      <c r="S203" s="265">
        <v>50000</v>
      </c>
      <c r="T203" s="265">
        <v>25000</v>
      </c>
      <c r="U203" s="265"/>
      <c r="V203" s="265">
        <v>0</v>
      </c>
      <c r="W203" s="265">
        <v>0</v>
      </c>
      <c r="X203" s="265">
        <v>25000</v>
      </c>
      <c r="Y203" s="265"/>
      <c r="Z203" s="265">
        <v>25000</v>
      </c>
      <c r="AA203" s="265"/>
      <c r="AB203" s="265"/>
      <c r="AC203" s="265"/>
      <c r="AD203" s="265"/>
      <c r="AE203" s="265"/>
      <c r="AF203" s="265"/>
      <c r="AG203" s="265"/>
      <c r="AH203" s="265"/>
      <c r="AI203" s="265"/>
      <c r="AJ203" s="265"/>
      <c r="AK203" s="265"/>
      <c r="AL203" s="265"/>
      <c r="AM203" s="265"/>
      <c r="AN203" s="265"/>
      <c r="AO203" s="265"/>
      <c r="AP203" s="265"/>
      <c r="AQ203" s="265"/>
      <c r="AR203" s="265"/>
      <c r="AS203" s="265"/>
      <c r="AT203" s="265">
        <v>0</v>
      </c>
      <c r="AU203" s="265">
        <v>0</v>
      </c>
      <c r="AV203" s="265">
        <v>0</v>
      </c>
      <c r="AW203" s="265">
        <v>0</v>
      </c>
      <c r="AX203" s="265">
        <v>0</v>
      </c>
      <c r="BG203" s="8">
        <v>42522</v>
      </c>
      <c r="BH203" s="5">
        <v>3</v>
      </c>
      <c r="BI203" s="5">
        <v>614</v>
      </c>
      <c r="BJ203" s="5">
        <v>0</v>
      </c>
      <c r="BK203" s="5">
        <f>Tableau1[[#This Row],[Base de financement]]-Tableau1[[#This Row],[Subvention ANRU]]-Tableau1[[#This Row],[Ville]]-Tableau1[[#This Row],[Plaine Commune]]-Tableau1[[#This Row],[Bailleurs]]-Tableau1[[#This Row],[CDC]]-Tableau1[[#This Row],[CD93]]-Tableau1[[#This Row],[CRIF]]-Tableau1[[#This Row],[Europe]]-Tableau1[[#This Row],[Autres]]</f>
        <v>0</v>
      </c>
      <c r="BL203" s="412">
        <f>S203-T203-V203-W203-Y203-Z203-AA203-AB203-AC203-AD203-AE203-AF203-AG203-AH203-AI203-AJ203-AK203-AL203-AM203-AN203-AO203-AP203-AQ203-AR203-AS203-AT203-AU203-AV203-AW203-AY203-BE203-BF203-Tableau1[[#This Row],[Ville de Pantin ]]-Tableau1[[#This Row],[Est-Ensemble ]]-Tableau1[[#This Row],[ASGO]]</f>
        <v>0</v>
      </c>
    </row>
    <row r="204" spans="1:64" ht="20.100000000000001" hidden="1" customHeight="1" x14ac:dyDescent="0.25">
      <c r="A204" s="195" t="s">
        <v>655</v>
      </c>
      <c r="B204" s="195" t="s">
        <v>695</v>
      </c>
      <c r="C204" s="14" t="s">
        <v>1316</v>
      </c>
      <c r="D204" s="195" t="s">
        <v>657</v>
      </c>
      <c r="E204" s="195"/>
      <c r="F204" s="195" t="s">
        <v>658</v>
      </c>
      <c r="G204" s="195"/>
      <c r="H204" s="462" t="s">
        <v>696</v>
      </c>
      <c r="I204" s="195"/>
      <c r="J204" s="195" t="s">
        <v>68</v>
      </c>
      <c r="K204" s="195" t="s">
        <v>69</v>
      </c>
      <c r="L204" s="195" t="s">
        <v>693</v>
      </c>
      <c r="M204" s="195"/>
      <c r="N204" s="195"/>
      <c r="O204" s="195" t="s">
        <v>42</v>
      </c>
      <c r="P204" s="195" t="s">
        <v>694</v>
      </c>
      <c r="Q204" s="466">
        <v>62750</v>
      </c>
      <c r="R204" s="197">
        <v>75300</v>
      </c>
      <c r="S204" s="197">
        <v>62750</v>
      </c>
      <c r="T204" s="197">
        <v>31375</v>
      </c>
      <c r="U204" s="197"/>
      <c r="V204" s="197">
        <v>0</v>
      </c>
      <c r="W204" s="197">
        <v>0</v>
      </c>
      <c r="X204" s="197">
        <v>31375</v>
      </c>
      <c r="Y204" s="197"/>
      <c r="Z204" s="197">
        <v>31375</v>
      </c>
      <c r="AA204" s="317"/>
      <c r="AB204" s="197"/>
      <c r="AC204" s="197"/>
      <c r="AD204" s="197"/>
      <c r="AE204" s="197"/>
      <c r="AF204" s="197"/>
      <c r="AG204" s="197"/>
      <c r="AH204" s="197"/>
      <c r="AI204" s="197"/>
      <c r="AJ204" s="197"/>
      <c r="AK204" s="197"/>
      <c r="AL204" s="197"/>
      <c r="AM204" s="197"/>
      <c r="AN204" s="197"/>
      <c r="AO204" s="197"/>
      <c r="AP204" s="345"/>
      <c r="AQ204" s="197"/>
      <c r="AR204" s="197"/>
      <c r="AS204" s="197"/>
      <c r="AT204" s="197">
        <v>0</v>
      </c>
      <c r="AU204" s="197">
        <v>0</v>
      </c>
      <c r="AV204" s="197">
        <v>0</v>
      </c>
      <c r="AW204" s="197">
        <v>0</v>
      </c>
      <c r="AX204" s="197">
        <v>0</v>
      </c>
      <c r="BG204" s="8">
        <v>42522</v>
      </c>
      <c r="BH204" s="5">
        <v>3</v>
      </c>
      <c r="BI204" s="5">
        <v>614</v>
      </c>
      <c r="BJ204" s="5">
        <v>0</v>
      </c>
      <c r="BK204" s="5">
        <f>Tableau1[[#This Row],[Base de financement]]-Tableau1[[#This Row],[Subvention ANRU]]-Tableau1[[#This Row],[Ville]]-Tableau1[[#This Row],[Plaine Commune]]-Tableau1[[#This Row],[Bailleurs]]-Tableau1[[#This Row],[CDC]]-Tableau1[[#This Row],[CD93]]-Tableau1[[#This Row],[CRIF]]-Tableau1[[#This Row],[Europe]]-Tableau1[[#This Row],[Autres]]</f>
        <v>0</v>
      </c>
      <c r="BL204" s="412">
        <f>S204-T204-V204-W204-Y204-Z204-AA204-AB204-AC204-AD204-AE204-AF204-AG204-AH204-AI204-AJ204-AK204-AL204-AM204-AN204-AO204-AP204-AQ204-AR204-AS204-AT204-AU204-AV204-AW204-AY204-BE204-BF204-Tableau1[[#This Row],[Ville de Pantin ]]-Tableau1[[#This Row],[Est-Ensemble ]]-Tableau1[[#This Row],[ASGO]]</f>
        <v>0</v>
      </c>
    </row>
    <row r="205" spans="1:64" ht="20.100000000000001" hidden="1" customHeight="1" x14ac:dyDescent="0.25">
      <c r="A205" s="195" t="s">
        <v>655</v>
      </c>
      <c r="B205" s="195" t="s">
        <v>697</v>
      </c>
      <c r="C205" s="14" t="s">
        <v>1317</v>
      </c>
      <c r="D205" s="195" t="s">
        <v>657</v>
      </c>
      <c r="E205" s="195"/>
      <c r="F205" s="195" t="s">
        <v>658</v>
      </c>
      <c r="G205" s="195"/>
      <c r="H205" s="462" t="s">
        <v>698</v>
      </c>
      <c r="I205" s="195"/>
      <c r="J205" s="195" t="s">
        <v>68</v>
      </c>
      <c r="K205" s="195" t="s">
        <v>69</v>
      </c>
      <c r="L205" s="195" t="s">
        <v>693</v>
      </c>
      <c r="M205" s="195"/>
      <c r="N205" s="195"/>
      <c r="O205" s="195" t="s">
        <v>42</v>
      </c>
      <c r="P205" s="195" t="s">
        <v>694</v>
      </c>
      <c r="Q205" s="466">
        <v>153250</v>
      </c>
      <c r="R205" s="197">
        <v>183900</v>
      </c>
      <c r="S205" s="197">
        <v>153250</v>
      </c>
      <c r="T205" s="197">
        <v>76625</v>
      </c>
      <c r="U205" s="197"/>
      <c r="V205" s="197">
        <v>0</v>
      </c>
      <c r="W205" s="197">
        <v>0</v>
      </c>
      <c r="X205" s="197">
        <v>76625</v>
      </c>
      <c r="Y205" s="197"/>
      <c r="Z205" s="197">
        <v>76625</v>
      </c>
      <c r="AA205" s="317"/>
      <c r="AB205" s="197"/>
      <c r="AC205" s="197"/>
      <c r="AD205" s="197"/>
      <c r="AE205" s="197"/>
      <c r="AF205" s="197"/>
      <c r="AG205" s="197"/>
      <c r="AH205" s="197"/>
      <c r="AI205" s="197"/>
      <c r="AJ205" s="197"/>
      <c r="AK205" s="197"/>
      <c r="AL205" s="197"/>
      <c r="AM205" s="197"/>
      <c r="AN205" s="197"/>
      <c r="AO205" s="197"/>
      <c r="AP205" s="345"/>
      <c r="AQ205" s="197"/>
      <c r="AR205" s="197"/>
      <c r="AS205" s="197"/>
      <c r="AT205" s="197">
        <v>0</v>
      </c>
      <c r="AU205" s="197">
        <v>0</v>
      </c>
      <c r="AV205" s="197">
        <v>0</v>
      </c>
      <c r="AW205" s="197">
        <v>0</v>
      </c>
      <c r="AX205" s="197">
        <v>0</v>
      </c>
      <c r="BG205" s="8">
        <v>42522</v>
      </c>
      <c r="BH205" s="5">
        <v>3</v>
      </c>
      <c r="BI205" s="5">
        <v>614</v>
      </c>
      <c r="BJ205" s="5">
        <v>0</v>
      </c>
      <c r="BK205" s="5">
        <f>Tableau1[[#This Row],[Base de financement]]-Tableau1[[#This Row],[Subvention ANRU]]-Tableau1[[#This Row],[Ville]]-Tableau1[[#This Row],[Plaine Commune]]-Tableau1[[#This Row],[Bailleurs]]-Tableau1[[#This Row],[CDC]]-Tableau1[[#This Row],[CD93]]-Tableau1[[#This Row],[CRIF]]-Tableau1[[#This Row],[Europe]]-Tableau1[[#This Row],[Autres]]</f>
        <v>0</v>
      </c>
      <c r="BL205" s="412">
        <f>S205-T205-V205-W205-Y205-Z205-AA205-AB205-AC205-AD205-AE205-AF205-AG205-AH205-AI205-AJ205-AK205-AL205-AM205-AN205-AO205-AP205-AQ205-AR205-AS205-AT205-AU205-AV205-AW205-AY205-BE205-BF205-Tableau1[[#This Row],[Ville de Pantin ]]-Tableau1[[#This Row],[Est-Ensemble ]]-Tableau1[[#This Row],[ASGO]]</f>
        <v>0</v>
      </c>
    </row>
    <row r="206" spans="1:64" ht="20.100000000000001" hidden="1" customHeight="1" x14ac:dyDescent="0.25">
      <c r="A206" s="195" t="s">
        <v>655</v>
      </c>
      <c r="B206" s="195" t="s">
        <v>699</v>
      </c>
      <c r="C206" s="14" t="s">
        <v>1318</v>
      </c>
      <c r="D206" s="195" t="s">
        <v>657</v>
      </c>
      <c r="E206" s="195"/>
      <c r="F206" s="195" t="s">
        <v>658</v>
      </c>
      <c r="G206" s="195"/>
      <c r="H206" s="462" t="s">
        <v>700</v>
      </c>
      <c r="I206" s="195"/>
      <c r="J206" s="195" t="s">
        <v>68</v>
      </c>
      <c r="K206" s="195" t="s">
        <v>69</v>
      </c>
      <c r="L206" s="195" t="s">
        <v>693</v>
      </c>
      <c r="M206" s="195"/>
      <c r="N206" s="195"/>
      <c r="O206" s="195" t="s">
        <v>42</v>
      </c>
      <c r="P206" s="195" t="s">
        <v>694</v>
      </c>
      <c r="Q206" s="466">
        <v>25000</v>
      </c>
      <c r="R206" s="197">
        <v>30000</v>
      </c>
      <c r="S206" s="197">
        <v>25000</v>
      </c>
      <c r="T206" s="197">
        <v>12500</v>
      </c>
      <c r="U206" s="197"/>
      <c r="V206" s="197">
        <v>0</v>
      </c>
      <c r="W206" s="197">
        <v>0</v>
      </c>
      <c r="X206" s="197">
        <v>12500</v>
      </c>
      <c r="Y206" s="197"/>
      <c r="Z206" s="197">
        <v>12500</v>
      </c>
      <c r="AA206" s="317"/>
      <c r="AB206" s="197"/>
      <c r="AC206" s="197"/>
      <c r="AD206" s="197"/>
      <c r="AE206" s="197"/>
      <c r="AF206" s="197"/>
      <c r="AG206" s="197"/>
      <c r="AH206" s="197"/>
      <c r="AI206" s="197"/>
      <c r="AJ206" s="197"/>
      <c r="AK206" s="197"/>
      <c r="AL206" s="197"/>
      <c r="AM206" s="197"/>
      <c r="AN206" s="197"/>
      <c r="AO206" s="197"/>
      <c r="AP206" s="345"/>
      <c r="AQ206" s="197"/>
      <c r="AR206" s="197"/>
      <c r="AS206" s="197"/>
      <c r="AT206" s="197">
        <v>0</v>
      </c>
      <c r="AU206" s="197">
        <v>0</v>
      </c>
      <c r="AV206" s="197">
        <v>0</v>
      </c>
      <c r="AW206" s="197">
        <v>0</v>
      </c>
      <c r="AX206" s="197">
        <v>0</v>
      </c>
      <c r="BG206" s="8">
        <v>42522</v>
      </c>
      <c r="BH206" s="5">
        <v>2</v>
      </c>
      <c r="BI206" s="5">
        <v>614</v>
      </c>
      <c r="BJ206" s="5">
        <v>0</v>
      </c>
      <c r="BK206" s="5">
        <f>Tableau1[[#This Row],[Base de financement]]-Tableau1[[#This Row],[Subvention ANRU]]-Tableau1[[#This Row],[Ville]]-Tableau1[[#This Row],[Plaine Commune]]-Tableau1[[#This Row],[Bailleurs]]-Tableau1[[#This Row],[CDC]]-Tableau1[[#This Row],[CD93]]-Tableau1[[#This Row],[CRIF]]-Tableau1[[#This Row],[Europe]]-Tableau1[[#This Row],[Autres]]</f>
        <v>0</v>
      </c>
      <c r="BL206" s="412">
        <f>S206-T206-V206-W206-Y206-Z206-AA206-AB206-AC206-AD206-AE206-AF206-AG206-AH206-AI206-AJ206-AK206-AL206-AM206-AN206-AO206-AP206-AQ206-AR206-AS206-AT206-AU206-AV206-AW206-AY206-BE206-BF206-Tableau1[[#This Row],[Ville de Pantin ]]-Tableau1[[#This Row],[Est-Ensemble ]]-Tableau1[[#This Row],[ASGO]]</f>
        <v>0</v>
      </c>
    </row>
    <row r="207" spans="1:64" ht="20.100000000000001" hidden="1" customHeight="1" x14ac:dyDescent="0.25">
      <c r="A207" s="195" t="s">
        <v>655</v>
      </c>
      <c r="B207" s="195" t="s">
        <v>701</v>
      </c>
      <c r="C207" s="14" t="s">
        <v>1319</v>
      </c>
      <c r="D207" s="195" t="s">
        <v>657</v>
      </c>
      <c r="E207" s="195"/>
      <c r="F207" s="195" t="s">
        <v>658</v>
      </c>
      <c r="G207" s="195"/>
      <c r="H207" s="462" t="s">
        <v>702</v>
      </c>
      <c r="I207" s="195"/>
      <c r="J207" s="195" t="s">
        <v>53</v>
      </c>
      <c r="K207" s="195" t="s">
        <v>61</v>
      </c>
      <c r="L207" s="195" t="s">
        <v>693</v>
      </c>
      <c r="M207" s="195"/>
      <c r="N207" s="195"/>
      <c r="O207" s="195" t="s">
        <v>42</v>
      </c>
      <c r="P207" s="195" t="s">
        <v>683</v>
      </c>
      <c r="Q207" s="466">
        <v>12500</v>
      </c>
      <c r="R207" s="197">
        <v>15000</v>
      </c>
      <c r="S207" s="197">
        <v>12500</v>
      </c>
      <c r="T207" s="197">
        <v>6250</v>
      </c>
      <c r="U207" s="197"/>
      <c r="V207" s="197">
        <v>0</v>
      </c>
      <c r="W207" s="197">
        <v>0</v>
      </c>
      <c r="X207" s="197">
        <v>6250</v>
      </c>
      <c r="Y207" s="197"/>
      <c r="Z207" s="197">
        <v>6250</v>
      </c>
      <c r="AA207" s="317"/>
      <c r="AB207" s="197"/>
      <c r="AC207" s="197"/>
      <c r="AD207" s="197"/>
      <c r="AE207" s="197"/>
      <c r="AF207" s="197"/>
      <c r="AG207" s="197"/>
      <c r="AH207" s="197"/>
      <c r="AI207" s="197"/>
      <c r="AJ207" s="197"/>
      <c r="AK207" s="197"/>
      <c r="AL207" s="197"/>
      <c r="AM207" s="197"/>
      <c r="AN207" s="197"/>
      <c r="AO207" s="197"/>
      <c r="AP207" s="345"/>
      <c r="AQ207" s="197"/>
      <c r="AR207" s="197"/>
      <c r="AS207" s="197"/>
      <c r="AT207" s="197">
        <v>0</v>
      </c>
      <c r="AU207" s="197">
        <v>0</v>
      </c>
      <c r="AV207" s="197">
        <v>0</v>
      </c>
      <c r="AW207" s="197">
        <v>0</v>
      </c>
      <c r="AX207" s="197">
        <v>0</v>
      </c>
      <c r="BG207" s="8">
        <v>42522</v>
      </c>
      <c r="BH207" s="5">
        <v>3</v>
      </c>
      <c r="BI207" s="5">
        <v>453</v>
      </c>
      <c r="BJ207" s="5">
        <v>0</v>
      </c>
      <c r="BK207" s="5">
        <f>Tableau1[[#This Row],[Base de financement]]-Tableau1[[#This Row],[Subvention ANRU]]-Tableau1[[#This Row],[Ville]]-Tableau1[[#This Row],[Plaine Commune]]-Tableau1[[#This Row],[Bailleurs]]-Tableau1[[#This Row],[CDC]]-Tableau1[[#This Row],[CD93]]-Tableau1[[#This Row],[CRIF]]-Tableau1[[#This Row],[Europe]]-Tableau1[[#This Row],[Autres]]</f>
        <v>0</v>
      </c>
      <c r="BL207" s="412">
        <f>S207-T207-V207-W207-Y207-Z207-AA207-AB207-AC207-AD207-AE207-AF207-AG207-AH207-AI207-AJ207-AK207-AL207-AM207-AN207-AO207-AP207-AQ207-AR207-AS207-AT207-AU207-AV207-AW207-AY207-BE207-BF207-Tableau1[[#This Row],[Ville de Pantin ]]-Tableau1[[#This Row],[Est-Ensemble ]]-Tableau1[[#This Row],[ASGO]]</f>
        <v>0</v>
      </c>
    </row>
    <row r="208" spans="1:64" ht="20.100000000000001" hidden="1" customHeight="1" x14ac:dyDescent="0.25">
      <c r="A208" s="195" t="s">
        <v>655</v>
      </c>
      <c r="B208" s="195" t="s">
        <v>703</v>
      </c>
      <c r="C208" s="14" t="s">
        <v>1320</v>
      </c>
      <c r="D208" s="195" t="s">
        <v>657</v>
      </c>
      <c r="E208" s="195"/>
      <c r="F208" s="195" t="s">
        <v>658</v>
      </c>
      <c r="G208" s="195"/>
      <c r="H208" s="462" t="s">
        <v>704</v>
      </c>
      <c r="I208" s="195"/>
      <c r="J208" s="195" t="s">
        <v>53</v>
      </c>
      <c r="K208" s="264" t="s">
        <v>61</v>
      </c>
      <c r="L208" s="195" t="s">
        <v>693</v>
      </c>
      <c r="M208" s="195"/>
      <c r="N208" s="195"/>
      <c r="O208" s="195" t="s">
        <v>42</v>
      </c>
      <c r="P208" s="195" t="s">
        <v>683</v>
      </c>
      <c r="Q208" s="466">
        <v>117780</v>
      </c>
      <c r="R208" s="197">
        <v>141336</v>
      </c>
      <c r="S208" s="197">
        <v>117780</v>
      </c>
      <c r="T208" s="197">
        <v>58890</v>
      </c>
      <c r="U208" s="197" t="s">
        <v>705</v>
      </c>
      <c r="V208" s="197">
        <v>0</v>
      </c>
      <c r="W208" s="197">
        <v>0</v>
      </c>
      <c r="X208" s="197">
        <v>58890</v>
      </c>
      <c r="Y208" s="197"/>
      <c r="Z208" s="197">
        <v>58890</v>
      </c>
      <c r="AA208" s="317"/>
      <c r="AB208" s="197"/>
      <c r="AC208" s="197"/>
      <c r="AD208" s="197"/>
      <c r="AE208" s="197"/>
      <c r="AF208" s="197"/>
      <c r="AG208" s="197"/>
      <c r="AH208" s="197"/>
      <c r="AI208" s="197"/>
      <c r="AJ208" s="197"/>
      <c r="AK208" s="197"/>
      <c r="AL208" s="197"/>
      <c r="AM208" s="197"/>
      <c r="AN208" s="197"/>
      <c r="AO208" s="197"/>
      <c r="AP208" s="345"/>
      <c r="AQ208" s="197"/>
      <c r="AR208" s="197"/>
      <c r="AS208" s="197"/>
      <c r="AT208" s="197">
        <v>0</v>
      </c>
      <c r="AU208" s="197">
        <v>0</v>
      </c>
      <c r="AV208" s="197">
        <v>0</v>
      </c>
      <c r="AW208" s="197">
        <v>0</v>
      </c>
      <c r="AX208" s="197">
        <v>0</v>
      </c>
      <c r="BG208" s="8">
        <v>42522</v>
      </c>
      <c r="BH208" s="5">
        <v>3</v>
      </c>
      <c r="BI208" s="5">
        <v>453</v>
      </c>
      <c r="BJ208" s="5">
        <v>0</v>
      </c>
      <c r="BK208" s="5">
        <f>Tableau1[[#This Row],[Base de financement]]-Tableau1[[#This Row],[Subvention ANRU]]-Tableau1[[#This Row],[Ville]]-Tableau1[[#This Row],[Plaine Commune]]-Tableau1[[#This Row],[Bailleurs]]-Tableau1[[#This Row],[CDC]]-Tableau1[[#This Row],[CD93]]-Tableau1[[#This Row],[CRIF]]-Tableau1[[#This Row],[Europe]]-Tableau1[[#This Row],[Autres]]</f>
        <v>0</v>
      </c>
      <c r="BL208" s="412">
        <f>S208-T208-V208-W208-Y208-Z208-AA208-AB208-AC208-AD208-AE208-AF208-AG208-AH208-AI208-AJ208-AK208-AL208-AM208-AN208-AO208-AP208-AQ208-AR208-AS208-AT208-AU208-AV208-AW208-AY208-BE208-BF208-Tableau1[[#This Row],[Ville de Pantin ]]-Tableau1[[#This Row],[Est-Ensemble ]]-Tableau1[[#This Row],[ASGO]]</f>
        <v>0</v>
      </c>
    </row>
    <row r="209" spans="1:64" ht="20.100000000000001" hidden="1" customHeight="1" x14ac:dyDescent="0.25">
      <c r="A209" s="195" t="s">
        <v>655</v>
      </c>
      <c r="B209" s="195" t="s">
        <v>706</v>
      </c>
      <c r="C209" s="14" t="s">
        <v>1321</v>
      </c>
      <c r="D209" s="195" t="s">
        <v>657</v>
      </c>
      <c r="E209" s="195"/>
      <c r="F209" s="195" t="s">
        <v>658</v>
      </c>
      <c r="G209" s="264"/>
      <c r="H209" s="462" t="s">
        <v>707</v>
      </c>
      <c r="I209" s="195"/>
      <c r="J209" s="195" t="s">
        <v>53</v>
      </c>
      <c r="K209" s="195" t="s">
        <v>61</v>
      </c>
      <c r="L209" s="195" t="s">
        <v>693</v>
      </c>
      <c r="M209" s="195"/>
      <c r="N209" s="195"/>
      <c r="O209" s="195" t="s">
        <v>42</v>
      </c>
      <c r="P209" s="195" t="s">
        <v>683</v>
      </c>
      <c r="Q209" s="466">
        <v>117780</v>
      </c>
      <c r="R209" s="197">
        <v>141336</v>
      </c>
      <c r="S209" s="197">
        <v>117780</v>
      </c>
      <c r="T209" s="197">
        <v>58890</v>
      </c>
      <c r="U209" s="197" t="s">
        <v>708</v>
      </c>
      <c r="V209" s="197">
        <v>0</v>
      </c>
      <c r="W209" s="197">
        <v>0</v>
      </c>
      <c r="X209" s="197">
        <v>58890</v>
      </c>
      <c r="Y209" s="197"/>
      <c r="Z209" s="197">
        <v>58890</v>
      </c>
      <c r="AA209" s="317"/>
      <c r="AB209" s="197"/>
      <c r="AC209" s="197"/>
      <c r="AD209" s="197"/>
      <c r="AE209" s="197"/>
      <c r="AF209" s="197"/>
      <c r="AG209" s="197"/>
      <c r="AH209" s="197"/>
      <c r="AI209" s="197"/>
      <c r="AJ209" s="197"/>
      <c r="AK209" s="197"/>
      <c r="AL209" s="197"/>
      <c r="AM209" s="197"/>
      <c r="AN209" s="197"/>
      <c r="AO209" s="197"/>
      <c r="AP209" s="345"/>
      <c r="AQ209" s="197"/>
      <c r="AR209" s="197"/>
      <c r="AS209" s="197"/>
      <c r="AT209" s="197">
        <v>0</v>
      </c>
      <c r="AU209" s="197">
        <v>0</v>
      </c>
      <c r="AV209" s="197">
        <v>0</v>
      </c>
      <c r="AW209" s="197">
        <v>0</v>
      </c>
      <c r="AX209" s="197">
        <v>0</v>
      </c>
      <c r="BG209" s="8">
        <v>42522</v>
      </c>
      <c r="BH209" s="5">
        <v>3</v>
      </c>
      <c r="BI209" s="5">
        <v>453</v>
      </c>
      <c r="BJ209" s="5">
        <v>0</v>
      </c>
      <c r="BK209" s="5">
        <f>Tableau1[[#This Row],[Base de financement]]-Tableau1[[#This Row],[Subvention ANRU]]-Tableau1[[#This Row],[Ville]]-Tableau1[[#This Row],[Plaine Commune]]-Tableau1[[#This Row],[Bailleurs]]-Tableau1[[#This Row],[CDC]]-Tableau1[[#This Row],[CD93]]-Tableau1[[#This Row],[CRIF]]-Tableau1[[#This Row],[Europe]]-Tableau1[[#This Row],[Autres]]</f>
        <v>0</v>
      </c>
      <c r="BL209" s="412">
        <f>S209-T209-V209-W209-Y209-Z209-AA209-AB209-AC209-AD209-AE209-AF209-AG209-AH209-AI209-AJ209-AK209-AL209-AM209-AN209-AO209-AP209-AQ209-AR209-AS209-AT209-AU209-AV209-AW209-AY209-BE209-BF209-Tableau1[[#This Row],[Ville de Pantin ]]-Tableau1[[#This Row],[Est-Ensemble ]]-Tableau1[[#This Row],[ASGO]]</f>
        <v>0</v>
      </c>
    </row>
    <row r="210" spans="1:64" ht="20.100000000000001" hidden="1" customHeight="1" x14ac:dyDescent="0.25">
      <c r="A210" s="195" t="s">
        <v>655</v>
      </c>
      <c r="B210" s="195" t="s">
        <v>709</v>
      </c>
      <c r="C210" s="14" t="s">
        <v>1322</v>
      </c>
      <c r="D210" s="195" t="s">
        <v>657</v>
      </c>
      <c r="E210" s="195"/>
      <c r="F210" s="195" t="s">
        <v>658</v>
      </c>
      <c r="G210" s="264"/>
      <c r="H210" s="462" t="s">
        <v>710</v>
      </c>
      <c r="I210" s="195"/>
      <c r="J210" s="195" t="s">
        <v>68</v>
      </c>
      <c r="K210" s="195" t="s">
        <v>69</v>
      </c>
      <c r="L210" s="195" t="s">
        <v>693</v>
      </c>
      <c r="M210" s="195"/>
      <c r="N210" s="195"/>
      <c r="O210" s="195" t="s">
        <v>42</v>
      </c>
      <c r="P210" s="195" t="s">
        <v>711</v>
      </c>
      <c r="Q210" s="466">
        <v>30600</v>
      </c>
      <c r="R210" s="197">
        <v>36720</v>
      </c>
      <c r="S210" s="197">
        <v>30600</v>
      </c>
      <c r="T210" s="197">
        <v>15300</v>
      </c>
      <c r="U210" s="197"/>
      <c r="V210" s="197">
        <v>0</v>
      </c>
      <c r="W210" s="197">
        <v>0</v>
      </c>
      <c r="X210" s="197">
        <v>15300</v>
      </c>
      <c r="Y210" s="197"/>
      <c r="Z210" s="197">
        <v>15300</v>
      </c>
      <c r="AA210" s="317"/>
      <c r="AB210" s="197"/>
      <c r="AC210" s="197"/>
      <c r="AD210" s="197"/>
      <c r="AE210" s="197"/>
      <c r="AF210" s="197"/>
      <c r="AG210" s="197"/>
      <c r="AH210" s="197"/>
      <c r="AI210" s="197"/>
      <c r="AJ210" s="197"/>
      <c r="AK210" s="197"/>
      <c r="AL210" s="197"/>
      <c r="AM210" s="197"/>
      <c r="AN210" s="197"/>
      <c r="AO210" s="197"/>
      <c r="AP210" s="345"/>
      <c r="AQ210" s="197"/>
      <c r="AR210" s="197"/>
      <c r="AS210" s="197"/>
      <c r="AT210" s="197">
        <v>0</v>
      </c>
      <c r="AU210" s="197">
        <v>0</v>
      </c>
      <c r="AV210" s="197">
        <v>0</v>
      </c>
      <c r="AW210" s="197">
        <v>0</v>
      </c>
      <c r="AX210" s="197">
        <v>0</v>
      </c>
      <c r="BG210" s="8">
        <v>42430</v>
      </c>
      <c r="BH210" s="5">
        <v>4</v>
      </c>
      <c r="BI210" s="5">
        <v>453</v>
      </c>
      <c r="BJ210" s="5">
        <v>0</v>
      </c>
      <c r="BK210" s="5">
        <f>Tableau1[[#This Row],[Base de financement]]-Tableau1[[#This Row],[Subvention ANRU]]-Tableau1[[#This Row],[Ville]]-Tableau1[[#This Row],[Plaine Commune]]-Tableau1[[#This Row],[Bailleurs]]-Tableau1[[#This Row],[CDC]]-Tableau1[[#This Row],[CD93]]-Tableau1[[#This Row],[CRIF]]-Tableau1[[#This Row],[Europe]]-Tableau1[[#This Row],[Autres]]</f>
        <v>0</v>
      </c>
      <c r="BL210" s="412">
        <f>S210-T210-V210-W210-Y210-Z210-AA210-AB210-AC210-AD210-AE210-AF210-AG210-AH210-AI210-AJ210-AK210-AL210-AM210-AN210-AO210-AP210-AQ210-AR210-AS210-AT210-AU210-AV210-AW210-AY210-BE210-BF210-Tableau1[[#This Row],[Ville de Pantin ]]-Tableau1[[#This Row],[Est-Ensemble ]]-Tableau1[[#This Row],[ASGO]]</f>
        <v>0</v>
      </c>
    </row>
    <row r="211" spans="1:64" ht="20.100000000000001" customHeight="1" x14ac:dyDescent="0.25">
      <c r="A211" s="195" t="s">
        <v>655</v>
      </c>
      <c r="B211" s="195" t="s">
        <v>712</v>
      </c>
      <c r="C211" s="14" t="s">
        <v>1323</v>
      </c>
      <c r="D211" s="195" t="s">
        <v>657</v>
      </c>
      <c r="E211" s="195" t="s">
        <v>36</v>
      </c>
      <c r="F211" s="195" t="s">
        <v>658</v>
      </c>
      <c r="G211" s="195"/>
      <c r="H211" s="462" t="s">
        <v>713</v>
      </c>
      <c r="I211" s="195"/>
      <c r="J211" s="195" t="s">
        <v>40</v>
      </c>
      <c r="K211" s="195" t="s">
        <v>41</v>
      </c>
      <c r="L211" s="195" t="s">
        <v>22</v>
      </c>
      <c r="M211" s="195"/>
      <c r="N211" s="195"/>
      <c r="O211" s="195" t="s">
        <v>42</v>
      </c>
      <c r="P211" s="195" t="s">
        <v>714</v>
      </c>
      <c r="Q211" s="466">
        <v>115000</v>
      </c>
      <c r="R211" s="197">
        <v>138000</v>
      </c>
      <c r="S211" s="197">
        <v>115000</v>
      </c>
      <c r="T211" s="197">
        <v>34000</v>
      </c>
      <c r="U211" s="197"/>
      <c r="V211" s="197">
        <v>0</v>
      </c>
      <c r="W211" s="197">
        <v>28750</v>
      </c>
      <c r="X211" s="197">
        <v>28750</v>
      </c>
      <c r="Y211" s="197"/>
      <c r="Z211" s="197">
        <f>8635+3048</f>
        <v>11683</v>
      </c>
      <c r="AA211" s="317"/>
      <c r="AB211" s="197"/>
      <c r="AC211" s="197"/>
      <c r="AD211" s="197"/>
      <c r="AE211" s="197"/>
      <c r="AF211" s="197"/>
      <c r="AG211" s="197">
        <f>5822+2055</f>
        <v>7877</v>
      </c>
      <c r="AH211" s="197"/>
      <c r="AI211" s="197"/>
      <c r="AJ211" s="197">
        <f>6793+2397</f>
        <v>9190</v>
      </c>
      <c r="AK211" s="197"/>
      <c r="AL211" s="197"/>
      <c r="AM211" s="197"/>
      <c r="AN211" s="197"/>
      <c r="AO211" s="197"/>
      <c r="AP211" s="345"/>
      <c r="AQ211" s="197"/>
      <c r="AR211" s="197"/>
      <c r="AS211" s="197"/>
      <c r="AT211" s="197">
        <v>23500</v>
      </c>
      <c r="AU211" s="197">
        <v>0</v>
      </c>
      <c r="AV211" s="197">
        <v>0</v>
      </c>
      <c r="AW211" s="197">
        <v>0</v>
      </c>
      <c r="AX211" s="197">
        <v>0</v>
      </c>
      <c r="BG211" s="8">
        <v>42522</v>
      </c>
      <c r="BH211" s="5">
        <v>12</v>
      </c>
      <c r="BI211" s="5">
        <v>0</v>
      </c>
      <c r="BJ211" s="5">
        <v>0</v>
      </c>
      <c r="BK211" s="5">
        <f>Tableau1[[#This Row],[Base de financement]]-Tableau1[[#This Row],[Subvention ANRU]]-Tableau1[[#This Row],[Ville]]-Tableau1[[#This Row],[Plaine Commune]]-Tableau1[[#This Row],[Bailleurs]]-Tableau1[[#This Row],[CDC]]-Tableau1[[#This Row],[CD93]]-Tableau1[[#This Row],[CRIF]]-Tableau1[[#This Row],[Europe]]-Tableau1[[#This Row],[Autres]]</f>
        <v>0</v>
      </c>
      <c r="BL211" s="412">
        <f>S211-T211-V211-W211-Y211-Z211-AA211-AB211-AC211-AD211-AE211-AF211-AG211-AH211-AI211-AJ211-AK211-AL211-AM211-AN211-AO211-AP211-AQ211-AR211-AS211-AT211-AU211-AV211-AW211-AY211-BE211-BF211-Tableau1[[#This Row],[Ville de Pantin ]]-Tableau1[[#This Row],[Est-Ensemble ]]-Tableau1[[#This Row],[ASGO]]</f>
        <v>0</v>
      </c>
    </row>
    <row r="212" spans="1:64" ht="20.100000000000001" hidden="1" customHeight="1" x14ac:dyDescent="0.25">
      <c r="A212" s="195" t="s">
        <v>655</v>
      </c>
      <c r="B212" s="195" t="s">
        <v>753</v>
      </c>
      <c r="C212" s="14" t="s">
        <v>1324</v>
      </c>
      <c r="D212" s="195" t="s">
        <v>657</v>
      </c>
      <c r="E212" s="195"/>
      <c r="F212" s="195" t="s">
        <v>658</v>
      </c>
      <c r="G212" s="195"/>
      <c r="H212" s="462" t="s">
        <v>754</v>
      </c>
      <c r="I212" s="195"/>
      <c r="J212" s="195" t="s">
        <v>68</v>
      </c>
      <c r="K212" s="195" t="s">
        <v>69</v>
      </c>
      <c r="L212" s="195" t="s">
        <v>317</v>
      </c>
      <c r="M212" s="195"/>
      <c r="N212" s="195"/>
      <c r="O212" s="195" t="s">
        <v>42</v>
      </c>
      <c r="P212" s="195" t="s">
        <v>755</v>
      </c>
      <c r="Q212" s="466">
        <v>24150</v>
      </c>
      <c r="R212" s="197">
        <v>28980</v>
      </c>
      <c r="S212" s="197">
        <v>24150</v>
      </c>
      <c r="T212" s="197">
        <v>7245</v>
      </c>
      <c r="U212" s="197" t="s">
        <v>756</v>
      </c>
      <c r="V212" s="197">
        <v>0</v>
      </c>
      <c r="W212" s="197">
        <v>0</v>
      </c>
      <c r="X212" s="197">
        <v>16905</v>
      </c>
      <c r="Y212" s="197"/>
      <c r="Z212" s="197"/>
      <c r="AA212" s="317"/>
      <c r="AB212" s="197"/>
      <c r="AC212" s="197"/>
      <c r="AD212" s="197"/>
      <c r="AE212" s="197"/>
      <c r="AF212" s="197"/>
      <c r="AG212" s="197"/>
      <c r="AH212" s="197"/>
      <c r="AI212" s="197"/>
      <c r="AJ212" s="197">
        <v>16905</v>
      </c>
      <c r="AK212" s="197"/>
      <c r="AL212" s="197"/>
      <c r="AM212" s="197"/>
      <c r="AN212" s="197"/>
      <c r="AO212" s="197"/>
      <c r="AP212" s="345"/>
      <c r="AQ212" s="197"/>
      <c r="AR212" s="197"/>
      <c r="AS212" s="197"/>
      <c r="AT212" s="197">
        <v>0</v>
      </c>
      <c r="AU212" s="197">
        <v>0</v>
      </c>
      <c r="AV212" s="197">
        <v>0</v>
      </c>
      <c r="AW212" s="197">
        <v>0</v>
      </c>
      <c r="AX212" s="197">
        <v>0</v>
      </c>
      <c r="BG212" s="8">
        <v>42461</v>
      </c>
      <c r="BH212" s="5">
        <v>3</v>
      </c>
      <c r="BJ212" s="5"/>
      <c r="BK212" s="5">
        <f>Tableau1[[#This Row],[Base de financement]]-Tableau1[[#This Row],[Subvention ANRU]]-Tableau1[[#This Row],[Ville]]-Tableau1[[#This Row],[Plaine Commune]]-Tableau1[[#This Row],[Bailleurs]]-Tableau1[[#This Row],[CDC]]-Tableau1[[#This Row],[CD93]]-Tableau1[[#This Row],[CRIF]]-Tableau1[[#This Row],[Europe]]-Tableau1[[#This Row],[Autres]]</f>
        <v>0</v>
      </c>
      <c r="BL212" s="412">
        <f>S212-T212-V212-W212-Y212-Z212-AA212-AB212-AC212-AD212-AE212-AF212-AG212-AH212-AI212-AJ212-AK212-AL212-AM212-AN212-AO212-AP212-AQ212-AR212-AS212-AT212-AU212-AV212-AW212-AY212-BE212-BF212-Tableau1[[#This Row],[Ville de Pantin ]]-Tableau1[[#This Row],[Est-Ensemble ]]-Tableau1[[#This Row],[ASGO]]</f>
        <v>0</v>
      </c>
    </row>
    <row r="213" spans="1:64" ht="20.100000000000001" hidden="1" customHeight="1" x14ac:dyDescent="0.25">
      <c r="A213" s="443" t="s">
        <v>655</v>
      </c>
      <c r="B213" s="443" t="s">
        <v>1038</v>
      </c>
      <c r="C213" s="14" t="s">
        <v>1325</v>
      </c>
      <c r="D213" s="443" t="s">
        <v>657</v>
      </c>
      <c r="E213" s="195"/>
      <c r="F213" s="195"/>
      <c r="G213" s="264"/>
      <c r="H213" s="463" t="s">
        <v>1039</v>
      </c>
      <c r="I213" s="444" t="s">
        <v>40</v>
      </c>
      <c r="J213" s="444" t="s">
        <v>47</v>
      </c>
      <c r="K213" s="195" t="s">
        <v>41</v>
      </c>
      <c r="L213" s="444" t="s">
        <v>1040</v>
      </c>
      <c r="M213" s="195"/>
      <c r="N213" s="195"/>
      <c r="O213" s="195"/>
      <c r="P213" s="195"/>
      <c r="Q213" s="467">
        <v>172488</v>
      </c>
      <c r="R213" s="445">
        <v>206986</v>
      </c>
      <c r="S213" s="445">
        <v>172488</v>
      </c>
      <c r="T213" s="445" t="s">
        <v>1042</v>
      </c>
      <c r="U213" s="467" t="s">
        <v>1041</v>
      </c>
      <c r="V213" s="445">
        <v>172488</v>
      </c>
      <c r="W213" s="467">
        <v>0</v>
      </c>
      <c r="X213" s="445">
        <v>0</v>
      </c>
      <c r="Y213" s="446">
        <v>0</v>
      </c>
      <c r="Z213" s="446">
        <v>0</v>
      </c>
      <c r="AA213" s="447"/>
      <c r="AB213" s="445">
        <v>0</v>
      </c>
      <c r="AC213" s="445">
        <v>0</v>
      </c>
      <c r="AD213" s="445">
        <v>0</v>
      </c>
      <c r="AE213" s="197"/>
      <c r="AF213" s="197"/>
      <c r="AG213" s="448"/>
      <c r="AH213" s="448"/>
      <c r="AI213" s="448"/>
      <c r="AJ213" s="448"/>
      <c r="AK213" s="448"/>
      <c r="AL213" s="448"/>
      <c r="AM213" s="448"/>
      <c r="AN213" s="448"/>
      <c r="AO213" s="448"/>
      <c r="AP213" s="449"/>
      <c r="AQ213" s="448"/>
      <c r="AR213" s="448"/>
      <c r="AS213" s="448"/>
      <c r="AT213" s="448"/>
      <c r="AU213" s="448"/>
      <c r="AV213" s="471"/>
      <c r="AW213" s="448"/>
      <c r="AX213" s="450"/>
      <c r="AY213"/>
      <c r="AZ213"/>
      <c r="BA213"/>
      <c r="BB213"/>
      <c r="BC213"/>
      <c r="BD213"/>
      <c r="BE213"/>
      <c r="BF213"/>
      <c r="BG213" s="198"/>
      <c r="BH213"/>
      <c r="BI213"/>
      <c r="BK213" s="5">
        <f>Tableau1[[#This Row],[Coût HT]]-Tableau1[[#This Row],[Ville]]</f>
        <v>0</v>
      </c>
      <c r="BL213" s="412"/>
    </row>
    <row r="214" spans="1:64" ht="20.100000000000001" hidden="1" customHeight="1" x14ac:dyDescent="0.25">
      <c r="A214" s="5" t="s">
        <v>550</v>
      </c>
      <c r="B214" s="5" t="s">
        <v>582</v>
      </c>
      <c r="C214" s="14" t="s">
        <v>1345</v>
      </c>
      <c r="D214" s="5" t="s">
        <v>1339</v>
      </c>
      <c r="F214" s="5" t="s">
        <v>562</v>
      </c>
      <c r="H214" s="404" t="s">
        <v>583</v>
      </c>
      <c r="J214" s="5" t="s">
        <v>113</v>
      </c>
      <c r="K214" s="5" t="s">
        <v>113</v>
      </c>
      <c r="L214" s="5" t="s">
        <v>566</v>
      </c>
      <c r="O214" s="5" t="s">
        <v>42</v>
      </c>
      <c r="Q214" s="227">
        <v>20000</v>
      </c>
      <c r="R214" s="7">
        <v>24000</v>
      </c>
      <c r="S214" s="7">
        <v>20000</v>
      </c>
      <c r="T214" s="7">
        <v>0</v>
      </c>
      <c r="U214" s="7" t="s">
        <v>584</v>
      </c>
      <c r="V214" s="7">
        <v>20000</v>
      </c>
      <c r="W214" s="7">
        <v>0</v>
      </c>
      <c r="X214" s="7">
        <v>0</v>
      </c>
      <c r="Y214" s="7"/>
      <c r="Z214" s="7"/>
      <c r="AA214" s="7"/>
      <c r="AB214" s="7"/>
      <c r="AC214" s="7"/>
      <c r="AD214" s="7"/>
      <c r="AE214" s="7"/>
      <c r="AF214" s="7"/>
      <c r="AG214" s="7"/>
      <c r="AH214" s="7"/>
      <c r="AI214" s="7"/>
      <c r="AJ214" s="7"/>
      <c r="AK214" s="7"/>
      <c r="AL214" s="7"/>
      <c r="AM214" s="7"/>
      <c r="AN214" s="7"/>
      <c r="AO214" s="7"/>
      <c r="AP214" s="7"/>
      <c r="AQ214" s="7"/>
      <c r="AR214" s="7"/>
      <c r="AS214" s="7"/>
      <c r="AT214" s="7">
        <v>0</v>
      </c>
      <c r="AU214" s="7">
        <v>0</v>
      </c>
      <c r="AV214" s="7">
        <v>0</v>
      </c>
      <c r="AW214" s="7">
        <v>0</v>
      </c>
      <c r="AX214" s="7">
        <v>0</v>
      </c>
      <c r="BG214" s="8">
        <v>42430</v>
      </c>
      <c r="BH214" s="5">
        <v>12</v>
      </c>
      <c r="BI214" s="5">
        <v>0</v>
      </c>
      <c r="BJ214" s="5">
        <v>0</v>
      </c>
      <c r="BK214" s="5">
        <f>Tableau1[[#This Row],[Base de financement]]-Tableau1[[#This Row],[Subvention ANRU]]-Tableau1[[#This Row],[Ville]]-Tableau1[[#This Row],[Plaine Commune]]-Tableau1[[#This Row],[Bailleurs]]-Tableau1[[#This Row],[CDC]]-Tableau1[[#This Row],[CD93]]-Tableau1[[#This Row],[CRIF]]-Tableau1[[#This Row],[Europe]]-Tableau1[[#This Row],[Autres]]</f>
        <v>0</v>
      </c>
      <c r="BL214" s="412">
        <f>S214-T214-V214-W214-Y214-Z214-AA214-AB214-AC214-AD214-AE214-AF214-AG214-AH214-AI214-AJ214-AK214-AL214-AM214-AN214-AO214-AP214-AQ214-AR214-AS214-AT214-AU214-AV214-AW214-AY214-BE214-BF214-Tableau1[[#This Row],[Ville de Pantin ]]-Tableau1[[#This Row],[Est-Ensemble ]]-Tableau1[[#This Row],[ASGO]]</f>
        <v>0</v>
      </c>
    </row>
    <row r="215" spans="1:64" ht="20.100000000000001" customHeight="1" x14ac:dyDescent="0.25">
      <c r="A215" s="5" t="s">
        <v>763</v>
      </c>
      <c r="H215" s="496"/>
      <c r="Q215" s="451">
        <f>SUBTOTAL(109,Tableau1[Coût HT])</f>
        <v>3192336</v>
      </c>
      <c r="R215" s="451">
        <f>SUBTOTAL(109,Tableau1[Coût TTC])</f>
        <v>3785803.2</v>
      </c>
      <c r="S215" s="451">
        <f>SUBTOTAL(109,Tableau1[Base de financement])</f>
        <v>3192336</v>
      </c>
      <c r="T215" s="451">
        <f>SUBTOTAL(109,Tableau1[Subvention ANRU])</f>
        <v>1027930</v>
      </c>
      <c r="U215" s="451"/>
      <c r="V215" s="451">
        <f>SUBTOTAL(109,Tableau1[Ville])</f>
        <v>0</v>
      </c>
      <c r="W215" s="451">
        <f>SUBTOTAL(109,Tableau1[Plaine Commune])</f>
        <v>1194158.5</v>
      </c>
      <c r="X215" s="451">
        <f>SUBTOTAL(109,Tableau1[Bailleurs])</f>
        <v>295612.5</v>
      </c>
      <c r="Y215" s="451">
        <f>SUBTOTAL(109,Tableau1[SARVILEP])</f>
        <v>40163</v>
      </c>
      <c r="Z215" s="451">
        <f>SUBTOTAL(109,Tableau1[France Habitation])</f>
        <v>11683</v>
      </c>
      <c r="AA215" s="451">
        <f>SUBTOTAL(109,Tableau1[SEMISO])</f>
        <v>1015</v>
      </c>
      <c r="AB215" s="451">
        <f>SUBTOTAL(109,Tableau1[SOHP])</f>
        <v>15448</v>
      </c>
      <c r="AC215" s="451">
        <f>SUBTOTAL(109,Tableau1[OSICA])</f>
        <v>0</v>
      </c>
      <c r="AD215" s="451">
        <f>SUBTOTAL(109,Tableau1[Logirep])</f>
        <v>10000</v>
      </c>
      <c r="AE215" s="451">
        <f>SUBTOTAL(109,Tableau1[[Toit et Joie ]])</f>
        <v>1663</v>
      </c>
      <c r="AF215" s="451">
        <f>SUBTOTAL(109,Tableau1[Antin Résidences])</f>
        <v>3998</v>
      </c>
      <c r="AG215" s="451">
        <f>SUBTOTAL(109,Tableau1[OPH93])</f>
        <v>67740</v>
      </c>
      <c r="AH215" s="451">
        <f>SUBTOTAL(109,Tableau1[PCH])</f>
        <v>39275</v>
      </c>
      <c r="AI215" s="451">
        <f>SUBTOTAL(109,Tableau1[Logement Francilien])</f>
        <v>9350</v>
      </c>
      <c r="AJ215" s="451">
        <f>SUBTOTAL(109,Tableau1[OGIF])</f>
        <v>14931</v>
      </c>
      <c r="AK215" s="451">
        <f>SUBTOTAL(109,Tableau1[ICF La Sablière])</f>
        <v>19259</v>
      </c>
      <c r="AL215" s="451">
        <f>SUBTOTAL(109,Tableau1[NOVIGERE])</f>
        <v>3146</v>
      </c>
      <c r="AM215" s="451">
        <f>SUBTOTAL(109,Tableau1[Maison du CIL])</f>
        <v>8700</v>
      </c>
      <c r="AN215" s="451">
        <f>SUBTOTAL(109,Tableau1[ASL d''orgemont])</f>
        <v>0</v>
      </c>
      <c r="AO215" s="451">
        <f>SUBTOTAL(109,Tableau1[OPIEVOY])</f>
        <v>7101</v>
      </c>
      <c r="AP215" s="451">
        <f>SUBTOTAL(109,Tableau1[SAIEM])</f>
        <v>4640</v>
      </c>
      <c r="AQ215" s="451">
        <f>SUBTOTAL(109,Tableau1[OPH Aubervilliers])</f>
        <v>37500</v>
      </c>
      <c r="AR215" s="451">
        <f>SUBTOTAL(109,Tableau1[RIVP])</f>
        <v>0</v>
      </c>
      <c r="AS215" s="451">
        <f>SUBTOTAL(109,Tableau1[ADOMA])</f>
        <v>0</v>
      </c>
      <c r="AT215" s="451">
        <f>SUBTOTAL(109,Tableau1[CDC])</f>
        <v>294823</v>
      </c>
      <c r="AU215" s="451">
        <f>SUBTOTAL(109,Tableau1[CD93])</f>
        <v>0</v>
      </c>
      <c r="AV215" s="451">
        <f>SUBTOTAL(109,Tableau1[CRIF])</f>
        <v>45000</v>
      </c>
      <c r="AW215" s="451">
        <f>SUBTOTAL(109,Tableau1[Europe])</f>
        <v>19800</v>
      </c>
      <c r="AX215" s="451">
        <f>SUBTOTAL(109,Tableau1[Autres])</f>
        <v>314012.5</v>
      </c>
      <c r="AY215" s="451">
        <f>SUBTOTAL(109,Tableau1[ANAH])</f>
        <v>191187</v>
      </c>
      <c r="AZ215" s="451">
        <f>SUBTOTAL(109,Tableau1[Syndicat Mixte des Réseaux D''énergies Calorifiques])</f>
        <v>0</v>
      </c>
      <c r="BA215" s="451">
        <f>SUBTOTAL(109,Tableau1[SEM PCD])</f>
        <v>0</v>
      </c>
      <c r="BB215" s="451">
        <f>SUBTOTAL(109,Tableau1[ASGO])</f>
        <v>0</v>
      </c>
      <c r="BC215" s="451">
        <f>SUBTOTAL(109,Tableau1[[Ville de Pantin ]])</f>
        <v>0</v>
      </c>
      <c r="BD215" s="451">
        <f>SUBTOTAL(109,Tableau1[Est-Ensemble ])</f>
        <v>0</v>
      </c>
      <c r="BE215" s="451">
        <f>SUBTOTAL(109,Tableau1[ADEME])</f>
        <v>0</v>
      </c>
      <c r="BF215" s="451">
        <f>SUBTOTAL(109,Tableau1[PIA])</f>
        <v>116500</v>
      </c>
      <c r="BG215" s="9"/>
      <c r="BJ215" s="5">
        <f>SUBTOTAL(109,Tableau1[Nbre de chambres])</f>
        <v>0</v>
      </c>
      <c r="BK215" s="5"/>
      <c r="BL215" s="5"/>
    </row>
    <row r="216" spans="1:64" ht="20.100000000000001" customHeight="1" x14ac:dyDescent="0.25">
      <c r="T216" s="6"/>
      <c r="Y216" s="6">
        <f>SUM(Tableau1[[#Totals],[SARVILEP]:[ADOMA]])</f>
        <v>295612</v>
      </c>
      <c r="AY216" s="6" t="e">
        <f>Tableau1[[#Totals],[ANAH]]+Tableau1[[#Totals],[Syndicat Mixte des Réseaux D''énergies Calorifiques]]+Tableau1[[#Totals],[SEM PCD]]+Tableau1[[#Totals],[ASGO]]+Tableau1[[#Totals],[Ville de Pantin ]]+Tableau1[[#Totals],[Est-Ensemble ]]+Tableau1[[#Totals],[ADEME]]+#REF!+Tableau1[[#Totals],[PIA]]</f>
        <v>#REF!</v>
      </c>
    </row>
  </sheetData>
  <pageMargins left="0.7" right="0.28000000000000003" top="0.75" bottom="0.75" header="0.3" footer="0.3"/>
  <pageSetup paperSize="8" scale="6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T115"/>
  <sheetViews>
    <sheetView zoomScale="60" zoomScaleNormal="60" workbookViewId="0">
      <selection activeCell="E1" sqref="E1:G1048576"/>
    </sheetView>
  </sheetViews>
  <sheetFormatPr baseColWidth="10" defaultRowHeight="15" x14ac:dyDescent="0.25"/>
  <cols>
    <col min="1" max="1" width="21" style="179" bestFit="1" customWidth="1"/>
    <col min="2" max="2" width="14.28515625" style="180" customWidth="1"/>
    <col min="3" max="3" width="14.85546875" style="181" customWidth="1"/>
    <col min="4" max="4" width="47.7109375" customWidth="1"/>
    <col min="5" max="5" width="15.42578125" hidden="1" customWidth="1"/>
    <col min="6" max="6" width="13.5703125" hidden="1" customWidth="1"/>
    <col min="7" max="7" width="13.42578125" hidden="1" customWidth="1"/>
    <col min="8" max="8" width="39" style="180" bestFit="1" customWidth="1"/>
    <col min="9" max="9" width="31.5703125" style="180" bestFit="1" customWidth="1"/>
    <col min="10" max="10" width="16.85546875" customWidth="1"/>
    <col min="11" max="11" width="17.140625" customWidth="1"/>
    <col min="12" max="12" width="16.85546875" hidden="1" customWidth="1"/>
    <col min="13" max="13" width="17.85546875" customWidth="1"/>
    <col min="14" max="14" width="28.85546875" customWidth="1"/>
    <col min="15" max="15" width="25.28515625" customWidth="1"/>
    <col min="16" max="16" width="41.85546875" bestFit="1" customWidth="1"/>
    <col min="17" max="17" width="34.140625" customWidth="1"/>
    <col min="18" max="18" width="10.7109375" customWidth="1"/>
    <col min="19" max="19" width="8" hidden="1" customWidth="1"/>
    <col min="20" max="20" width="24" customWidth="1"/>
    <col min="21" max="21" width="11.5703125" hidden="1" customWidth="1"/>
    <col min="22" max="37" width="15.7109375" customWidth="1"/>
    <col min="38" max="38" width="16.140625" customWidth="1"/>
    <col min="39" max="39" width="11.28515625" customWidth="1"/>
    <col min="40" max="40" width="15.42578125" bestFit="1" customWidth="1"/>
    <col min="41" max="41" width="11.5703125" customWidth="1"/>
    <col min="42" max="42" width="11.5703125" hidden="1" customWidth="1"/>
    <col min="43" max="43" width="11.140625" customWidth="1"/>
    <col min="44" max="44" width="11.140625" hidden="1" customWidth="1"/>
    <col min="45" max="45" width="12.140625" customWidth="1"/>
    <col min="46" max="46" width="10" hidden="1" customWidth="1"/>
    <col min="47" max="47" width="11.85546875" customWidth="1"/>
    <col min="48" max="48" width="17.7109375" customWidth="1"/>
    <col min="49" max="49" width="20.42578125" customWidth="1"/>
    <col min="50" max="50" width="20.85546875" customWidth="1"/>
    <col min="51" max="51" width="0" hidden="1" customWidth="1"/>
    <col min="52" max="52" width="11.42578125" style="163"/>
    <col min="53" max="53" width="16.7109375" style="163" customWidth="1"/>
    <col min="54" max="135" width="11.42578125" style="163"/>
    <col min="136" max="149" width="11.42578125" style="164"/>
  </cols>
  <sheetData>
    <row r="1" spans="1:150" s="20" customFormat="1" ht="57.75" customHeight="1" x14ac:dyDescent="0.25">
      <c r="A1" s="15" t="s">
        <v>0</v>
      </c>
      <c r="B1" s="16" t="s">
        <v>781</v>
      </c>
      <c r="C1" s="17" t="s">
        <v>782</v>
      </c>
      <c r="D1" s="16" t="s">
        <v>7</v>
      </c>
      <c r="E1" s="495" t="s">
        <v>1387</v>
      </c>
      <c r="F1" s="495" t="s">
        <v>1388</v>
      </c>
      <c r="G1" s="495" t="s">
        <v>1389</v>
      </c>
      <c r="H1" s="16" t="s">
        <v>9</v>
      </c>
      <c r="I1" s="16" t="s">
        <v>783</v>
      </c>
      <c r="J1" s="16" t="s">
        <v>784</v>
      </c>
      <c r="K1" s="16" t="s">
        <v>16</v>
      </c>
      <c r="L1" s="16" t="s">
        <v>785</v>
      </c>
      <c r="M1" s="16" t="s">
        <v>17</v>
      </c>
      <c r="N1" s="16" t="s">
        <v>18</v>
      </c>
      <c r="O1" s="16" t="s">
        <v>19</v>
      </c>
      <c r="P1" s="16" t="s">
        <v>786</v>
      </c>
      <c r="Q1" s="16" t="s">
        <v>20</v>
      </c>
      <c r="R1" s="16" t="s">
        <v>21</v>
      </c>
      <c r="S1" s="16" t="s">
        <v>787</v>
      </c>
      <c r="T1" s="16" t="s">
        <v>22</v>
      </c>
      <c r="U1" s="16" t="s">
        <v>788</v>
      </c>
      <c r="V1" s="16" t="s">
        <v>23</v>
      </c>
      <c r="W1" s="190" t="s">
        <v>994</v>
      </c>
      <c r="X1" s="190" t="s">
        <v>589</v>
      </c>
      <c r="Y1" s="190" t="s">
        <v>1091</v>
      </c>
      <c r="Z1" s="190" t="s">
        <v>776</v>
      </c>
      <c r="AA1" s="190" t="s">
        <v>456</v>
      </c>
      <c r="AB1" s="190" t="s">
        <v>1095</v>
      </c>
      <c r="AC1" s="190" t="s">
        <v>267</v>
      </c>
      <c r="AD1" s="190" t="s">
        <v>775</v>
      </c>
      <c r="AE1" s="190" t="s">
        <v>1096</v>
      </c>
      <c r="AF1" s="190" t="s">
        <v>280</v>
      </c>
      <c r="AG1" s="190" t="s">
        <v>285</v>
      </c>
      <c r="AH1" s="190" t="s">
        <v>323</v>
      </c>
      <c r="AI1" s="190" t="s">
        <v>1071</v>
      </c>
      <c r="AJ1" s="190" t="s">
        <v>317</v>
      </c>
      <c r="AK1" s="190" t="s">
        <v>464</v>
      </c>
      <c r="AL1" s="190" t="s">
        <v>693</v>
      </c>
      <c r="AM1" s="16" t="s">
        <v>789</v>
      </c>
      <c r="AN1" s="16" t="s">
        <v>24</v>
      </c>
      <c r="AO1" s="16" t="s">
        <v>790</v>
      </c>
      <c r="AP1" s="16" t="s">
        <v>25</v>
      </c>
      <c r="AQ1" s="16" t="s">
        <v>791</v>
      </c>
      <c r="AR1" s="16" t="s">
        <v>26</v>
      </c>
      <c r="AS1" s="16" t="s">
        <v>792</v>
      </c>
      <c r="AT1" s="16" t="s">
        <v>27</v>
      </c>
      <c r="AU1" s="16" t="s">
        <v>793</v>
      </c>
      <c r="AV1" s="16" t="s">
        <v>28</v>
      </c>
      <c r="AW1" s="16" t="s">
        <v>794</v>
      </c>
      <c r="AX1" s="16" t="s">
        <v>29</v>
      </c>
      <c r="AY1" s="16" t="s">
        <v>30</v>
      </c>
      <c r="AZ1" s="433" t="s">
        <v>1367</v>
      </c>
      <c r="BA1" s="430" t="s">
        <v>1373</v>
      </c>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9"/>
      <c r="EH1" s="19"/>
      <c r="EI1" s="19"/>
      <c r="EJ1" s="19"/>
      <c r="EK1" s="19"/>
      <c r="EL1" s="19"/>
      <c r="EM1" s="19"/>
      <c r="EN1" s="19"/>
      <c r="EO1" s="19"/>
      <c r="EP1" s="19"/>
      <c r="EQ1" s="19"/>
      <c r="ER1" s="19"/>
      <c r="ES1" s="19"/>
      <c r="ET1" s="19"/>
    </row>
    <row r="2" spans="1:150" s="262" customFormat="1" ht="60" customHeight="1" x14ac:dyDescent="0.25">
      <c r="A2" s="252" t="s">
        <v>655</v>
      </c>
      <c r="B2" s="243" t="s">
        <v>795</v>
      </c>
      <c r="C2" s="253" t="s">
        <v>796</v>
      </c>
      <c r="D2" s="360" t="s">
        <v>797</v>
      </c>
      <c r="E2" s="474"/>
      <c r="F2" s="474"/>
      <c r="G2" s="474"/>
      <c r="H2" s="238" t="s">
        <v>798</v>
      </c>
      <c r="I2" s="24" t="s">
        <v>799</v>
      </c>
      <c r="J2" s="238" t="s">
        <v>800</v>
      </c>
      <c r="K2" s="290">
        <v>20000</v>
      </c>
      <c r="L2" s="255">
        <v>0.2</v>
      </c>
      <c r="M2" s="245">
        <f>K2*(1+L2)</f>
        <v>24000</v>
      </c>
      <c r="N2" s="246">
        <f>K2</f>
        <v>20000</v>
      </c>
      <c r="O2" s="246">
        <f>N2*P2</f>
        <v>0</v>
      </c>
      <c r="P2" s="259">
        <v>0</v>
      </c>
      <c r="Q2" s="257" t="s">
        <v>801</v>
      </c>
      <c r="R2" s="256"/>
      <c r="S2" s="254"/>
      <c r="T2" s="258">
        <f>K2*U2</f>
        <v>10000</v>
      </c>
      <c r="U2" s="259">
        <v>0.5</v>
      </c>
      <c r="V2" s="174">
        <f>N2*AM2</f>
        <v>0</v>
      </c>
      <c r="W2" s="256">
        <f>Tableau13[[#This Row],[Subvention ANRU]]*12.5%</f>
        <v>0</v>
      </c>
      <c r="X2" s="286"/>
      <c r="Y2" s="286"/>
      <c r="Z2" s="256"/>
      <c r="AA2" s="256">
        <f>Tableau13[[#This Row],[Bailleurs]]*12.5%</f>
        <v>0</v>
      </c>
      <c r="AB2" s="318"/>
      <c r="AC2" s="318"/>
      <c r="AD2" s="332"/>
      <c r="AE2" s="332"/>
      <c r="AF2" s="332"/>
      <c r="AG2" s="332"/>
      <c r="AH2" s="332"/>
      <c r="AI2" s="256"/>
      <c r="AJ2" s="256"/>
      <c r="AK2" s="256"/>
      <c r="AL2" s="256"/>
      <c r="AM2" s="259"/>
      <c r="AN2" s="260">
        <f>K2*AO2</f>
        <v>10000</v>
      </c>
      <c r="AO2" s="249">
        <v>0.5</v>
      </c>
      <c r="AP2" s="256"/>
      <c r="AQ2" s="259"/>
      <c r="AR2" s="256"/>
      <c r="AS2" s="259"/>
      <c r="AT2" s="256"/>
      <c r="AU2" s="259"/>
      <c r="AV2" s="259"/>
      <c r="AW2" s="259"/>
      <c r="AX2" s="261">
        <v>42370</v>
      </c>
      <c r="AY2" s="254">
        <v>2</v>
      </c>
      <c r="AZ2" s="34">
        <f>Tableau13[[#This Row],[Bailleurs]]-SUM(Tableau13[[#This Row],[LOGIREP]:[France Habitation]])</f>
        <v>0</v>
      </c>
      <c r="BA2" s="34">
        <f>Tableau13[[#This Row],[Base de financement]]-Tableau13[[#This Row],[Subvention ANRU]]-Tableau13[[#This Row],[Ville]]-Tableau13[[#This Row],[Plaine Commune]]-Tableau13[[#This Row],[Bailleurs]]-Tableau13[[#This Row],[CDC]]-Tableau13[[#This Row],[Autres]]</f>
        <v>0</v>
      </c>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5"/>
      <c r="EH2" s="35"/>
      <c r="EI2" s="35"/>
      <c r="EJ2" s="35"/>
      <c r="EK2" s="35"/>
      <c r="EL2" s="35"/>
      <c r="EM2" s="35"/>
      <c r="EN2" s="35"/>
      <c r="EO2" s="35"/>
      <c r="EP2" s="35"/>
      <c r="EQ2" s="35"/>
      <c r="ER2" s="35"/>
      <c r="ES2" s="35"/>
      <c r="ET2" s="35"/>
    </row>
    <row r="3" spans="1:150" s="262" customFormat="1" ht="60" customHeight="1" x14ac:dyDescent="0.25">
      <c r="A3" s="291" t="s">
        <v>238</v>
      </c>
      <c r="B3" s="292" t="s">
        <v>795</v>
      </c>
      <c r="C3" s="293" t="s">
        <v>802</v>
      </c>
      <c r="D3" s="294" t="s">
        <v>803</v>
      </c>
      <c r="E3" s="475"/>
      <c r="F3" s="475"/>
      <c r="G3" s="475"/>
      <c r="H3" s="237" t="s">
        <v>798</v>
      </c>
      <c r="I3" s="24" t="s">
        <v>799</v>
      </c>
      <c r="J3" s="238" t="s">
        <v>800</v>
      </c>
      <c r="K3" s="296">
        <v>10000</v>
      </c>
      <c r="L3" s="297">
        <v>0.2</v>
      </c>
      <c r="M3" s="298">
        <v>12000</v>
      </c>
      <c r="N3" s="299">
        <v>10000</v>
      </c>
      <c r="O3" s="239">
        <f>N3*P3</f>
        <v>0</v>
      </c>
      <c r="P3" s="297">
        <v>0</v>
      </c>
      <c r="Q3" s="257" t="s">
        <v>801</v>
      </c>
      <c r="R3" s="272">
        <v>0</v>
      </c>
      <c r="S3" s="300">
        <v>0</v>
      </c>
      <c r="T3" s="258">
        <f>K3*U3</f>
        <v>5000</v>
      </c>
      <c r="U3" s="301">
        <v>0.5</v>
      </c>
      <c r="V3" s="302">
        <v>0</v>
      </c>
      <c r="W3" s="272">
        <f>Tableau13[[#This Row],[Subvention ANRU]]*12.5%</f>
        <v>0</v>
      </c>
      <c r="X3" s="307"/>
      <c r="Y3" s="307"/>
      <c r="Z3" s="272"/>
      <c r="AA3" s="272">
        <f>Tableau13[[#This Row],[Bailleurs]]*12.5%</f>
        <v>0</v>
      </c>
      <c r="AB3" s="321"/>
      <c r="AC3" s="321"/>
      <c r="AD3" s="335"/>
      <c r="AE3" s="335"/>
      <c r="AF3" s="335"/>
      <c r="AG3" s="335"/>
      <c r="AH3" s="335"/>
      <c r="AI3" s="272"/>
      <c r="AJ3" s="272"/>
      <c r="AK3" s="272"/>
      <c r="AL3" s="272"/>
      <c r="AM3" s="297"/>
      <c r="AN3" s="260">
        <f>N3*AO3</f>
        <v>5000</v>
      </c>
      <c r="AO3" s="249">
        <v>0.5</v>
      </c>
      <c r="AP3" s="272">
        <v>0</v>
      </c>
      <c r="AQ3" s="297"/>
      <c r="AR3" s="272">
        <v>0</v>
      </c>
      <c r="AS3" s="297"/>
      <c r="AT3" s="272">
        <v>0</v>
      </c>
      <c r="AU3" s="297"/>
      <c r="AV3" s="304">
        <v>0</v>
      </c>
      <c r="AW3" s="297"/>
      <c r="AX3" s="305">
        <v>42461</v>
      </c>
      <c r="AY3" s="306">
        <v>3</v>
      </c>
      <c r="AZ3" s="34">
        <f>Tableau13[[#This Row],[Bailleurs]]-SUM(Tableau13[[#This Row],[LOGIREP]:[France Habitation]])</f>
        <v>0</v>
      </c>
      <c r="BA3" s="34">
        <f>Tableau13[[#This Row],[Base de financement]]-Tableau13[[#This Row],[Subvention ANRU]]-Tableau13[[#This Row],[Ville]]-Tableau13[[#This Row],[Plaine Commune]]-Tableau13[[#This Row],[Bailleurs]]-Tableau13[[#This Row],[CDC]]-Tableau13[[#This Row],[Autres]]</f>
        <v>0</v>
      </c>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5"/>
      <c r="EH3" s="35"/>
      <c r="EI3" s="35"/>
      <c r="EJ3" s="35"/>
      <c r="EK3" s="35"/>
      <c r="EL3" s="35"/>
      <c r="EM3" s="35"/>
      <c r="EN3" s="35"/>
      <c r="EO3" s="35"/>
      <c r="EP3" s="35"/>
      <c r="EQ3" s="35"/>
      <c r="ER3" s="35"/>
      <c r="ES3" s="35"/>
      <c r="ET3" s="35"/>
    </row>
    <row r="4" spans="1:150" s="262" customFormat="1" ht="60" customHeight="1" x14ac:dyDescent="0.25">
      <c r="A4" s="252" t="s">
        <v>655</v>
      </c>
      <c r="B4" s="243" t="s">
        <v>795</v>
      </c>
      <c r="C4" s="253" t="s">
        <v>689</v>
      </c>
      <c r="D4" s="384" t="s">
        <v>690</v>
      </c>
      <c r="E4" s="476"/>
      <c r="F4" s="476"/>
      <c r="G4" s="476"/>
      <c r="H4" s="238" t="s">
        <v>798</v>
      </c>
      <c r="I4" s="24" t="s">
        <v>799</v>
      </c>
      <c r="J4" s="238" t="s">
        <v>800</v>
      </c>
      <c r="K4" s="387">
        <v>16666.666666666701</v>
      </c>
      <c r="L4" s="255">
        <v>0.2</v>
      </c>
      <c r="M4" s="245">
        <f>Tableau13[[#This Row],[Coût HT]]*1.2</f>
        <v>20000.00000000004</v>
      </c>
      <c r="N4" s="246">
        <v>16667</v>
      </c>
      <c r="O4" s="246">
        <v>0</v>
      </c>
      <c r="P4" s="255">
        <v>0</v>
      </c>
      <c r="Q4" s="257"/>
      <c r="R4" s="256"/>
      <c r="S4" s="254"/>
      <c r="T4" s="258"/>
      <c r="U4" s="259"/>
      <c r="V4" s="398">
        <v>8333.3333333333303</v>
      </c>
      <c r="W4" s="399">
        <f>Tableau13[[#This Row],[Subvention ANRU]]*12.5%</f>
        <v>0</v>
      </c>
      <c r="X4" s="370"/>
      <c r="Y4" s="370"/>
      <c r="Z4" s="399"/>
      <c r="AA4" s="373">
        <v>0</v>
      </c>
      <c r="AB4" s="371"/>
      <c r="AC4" s="371"/>
      <c r="AD4" s="372"/>
      <c r="AE4" s="372"/>
      <c r="AF4" s="372"/>
      <c r="AG4" s="372"/>
      <c r="AH4" s="372"/>
      <c r="AI4" s="373"/>
      <c r="AJ4" s="374">
        <v>8333</v>
      </c>
      <c r="AK4" s="374"/>
      <c r="AL4" s="374"/>
      <c r="AM4" s="259"/>
      <c r="AN4" s="260">
        <v>8333</v>
      </c>
      <c r="AO4" s="249"/>
      <c r="AP4" s="256"/>
      <c r="AQ4" s="259"/>
      <c r="AR4" s="256"/>
      <c r="AS4" s="259"/>
      <c r="AT4" s="256"/>
      <c r="AU4" s="259"/>
      <c r="AV4" s="255"/>
      <c r="AW4" s="259"/>
      <c r="AX4" s="261"/>
      <c r="AY4" s="254"/>
      <c r="AZ4" s="34">
        <f>Tableau13[[#This Row],[Bailleurs]]-SUM(Tableau13[[#This Row],[LOGIREP]:[France Habitation]])</f>
        <v>0.33333333333030168</v>
      </c>
      <c r="BA4" s="34">
        <f>Tableau13[[#This Row],[Base de financement]]-Tableau13[[#This Row],[Subvention ANRU]]-Tableau13[[#This Row],[Ville]]-Tableau13[[#This Row],[Plaine Commune]]-Tableau13[[#This Row],[Bailleurs]]-Tableau13[[#This Row],[CDC]]-Tableau13[[#This Row],[Autres]]</f>
        <v>0.66666666666969832</v>
      </c>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5"/>
      <c r="EH4" s="35"/>
      <c r="EI4" s="35"/>
      <c r="EJ4" s="35"/>
      <c r="EK4" s="35"/>
      <c r="EL4" s="35"/>
      <c r="EM4" s="35"/>
      <c r="EN4" s="35"/>
      <c r="EO4" s="35"/>
      <c r="EP4" s="35"/>
      <c r="EQ4" s="35"/>
      <c r="ER4" s="35"/>
      <c r="ES4" s="35"/>
      <c r="ET4" s="35"/>
    </row>
    <row r="5" spans="1:150" s="262" customFormat="1" ht="60" customHeight="1" x14ac:dyDescent="0.25">
      <c r="A5" s="252" t="s">
        <v>550</v>
      </c>
      <c r="B5" s="353" t="s">
        <v>795</v>
      </c>
      <c r="C5" s="355" t="s">
        <v>804</v>
      </c>
      <c r="D5" s="359" t="s">
        <v>805</v>
      </c>
      <c r="E5" s="477"/>
      <c r="F5" s="477"/>
      <c r="G5" s="477"/>
      <c r="H5" s="385" t="s">
        <v>798</v>
      </c>
      <c r="I5" s="24" t="s">
        <v>799</v>
      </c>
      <c r="J5" s="238" t="s">
        <v>800</v>
      </c>
      <c r="K5" s="361">
        <v>10000</v>
      </c>
      <c r="L5" s="300">
        <v>0.2</v>
      </c>
      <c r="M5" s="363">
        <f>K5*(1+L5)</f>
        <v>12000</v>
      </c>
      <c r="N5" s="392">
        <v>10000</v>
      </c>
      <c r="O5" s="239">
        <f>K5*P5</f>
        <v>0</v>
      </c>
      <c r="P5" s="300">
        <v>0</v>
      </c>
      <c r="Q5" s="257" t="s">
        <v>1090</v>
      </c>
      <c r="R5" s="260">
        <f>K5*S5</f>
        <v>0</v>
      </c>
      <c r="S5" s="395">
        <v>0</v>
      </c>
      <c r="T5" s="258">
        <f t="shared" ref="T5:T11" si="0">K5*U5</f>
        <v>5000</v>
      </c>
      <c r="U5" s="395">
        <v>0.5</v>
      </c>
      <c r="V5" s="184">
        <f>K5*AM5</f>
        <v>0</v>
      </c>
      <c r="W5" s="260">
        <f>Tableau13[[#This Row],[Subvention ANRU]]*12.5%</f>
        <v>0</v>
      </c>
      <c r="X5" s="288"/>
      <c r="Y5" s="288"/>
      <c r="Z5" s="260"/>
      <c r="AA5" s="260">
        <f>Tableau13[[#This Row],[Bailleurs]]*12.5%</f>
        <v>0</v>
      </c>
      <c r="AB5" s="322"/>
      <c r="AC5" s="322"/>
      <c r="AD5" s="336"/>
      <c r="AE5" s="336"/>
      <c r="AF5" s="336"/>
      <c r="AG5" s="336"/>
      <c r="AH5" s="336"/>
      <c r="AI5" s="260"/>
      <c r="AJ5" s="260"/>
      <c r="AK5" s="260"/>
      <c r="AL5" s="260"/>
      <c r="AM5" s="300"/>
      <c r="AN5" s="260">
        <f>K5*AO5</f>
        <v>5000</v>
      </c>
      <c r="AO5" s="249">
        <v>0.5</v>
      </c>
      <c r="AP5" s="260">
        <f>K5*AQ5</f>
        <v>0</v>
      </c>
      <c r="AQ5" s="300"/>
      <c r="AR5" s="260">
        <f>K5*AS5</f>
        <v>0</v>
      </c>
      <c r="AS5" s="300"/>
      <c r="AT5" s="260">
        <f>K5*AU5</f>
        <v>0</v>
      </c>
      <c r="AU5" s="300"/>
      <c r="AV5" s="377">
        <f>K5*AW5</f>
        <v>0</v>
      </c>
      <c r="AW5" s="300"/>
      <c r="AX5" s="379">
        <v>42372</v>
      </c>
      <c r="AY5" s="366">
        <v>3</v>
      </c>
      <c r="AZ5" s="34">
        <f>Tableau13[[#This Row],[Bailleurs]]-SUM(Tableau13[[#This Row],[LOGIREP]:[France Habitation]])</f>
        <v>0</v>
      </c>
      <c r="BA5" s="34">
        <f>Tableau13[[#This Row],[Base de financement]]-Tableau13[[#This Row],[Subvention ANRU]]-Tableau13[[#This Row],[Ville]]-Tableau13[[#This Row],[Plaine Commune]]-Tableau13[[#This Row],[Bailleurs]]-Tableau13[[#This Row],[CDC]]-Tableau13[[#This Row],[Autres]]</f>
        <v>0</v>
      </c>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5"/>
      <c r="EH5" s="35"/>
      <c r="EI5" s="35"/>
      <c r="EJ5" s="35"/>
      <c r="EK5" s="35"/>
      <c r="EL5" s="35"/>
      <c r="EM5" s="35"/>
      <c r="EN5" s="35"/>
      <c r="EO5" s="35"/>
      <c r="EP5" s="35"/>
      <c r="EQ5" s="35"/>
      <c r="ER5" s="35"/>
      <c r="ES5" s="35"/>
      <c r="ET5" s="35"/>
    </row>
    <row r="6" spans="1:150" s="262" customFormat="1" ht="60" customHeight="1" x14ac:dyDescent="0.25">
      <c r="A6" s="252" t="s">
        <v>550</v>
      </c>
      <c r="B6" s="353" t="s">
        <v>795</v>
      </c>
      <c r="C6" s="355" t="s">
        <v>806</v>
      </c>
      <c r="D6" s="359" t="s">
        <v>805</v>
      </c>
      <c r="E6" s="477"/>
      <c r="F6" s="477"/>
      <c r="G6" s="477"/>
      <c r="H6" s="385" t="s">
        <v>798</v>
      </c>
      <c r="I6" s="24" t="s">
        <v>799</v>
      </c>
      <c r="J6" s="238" t="s">
        <v>800</v>
      </c>
      <c r="K6" s="361">
        <v>10000</v>
      </c>
      <c r="L6" s="300">
        <v>0.2</v>
      </c>
      <c r="M6" s="363">
        <f>K6*(1+L6)</f>
        <v>12000</v>
      </c>
      <c r="N6" s="392">
        <v>10000</v>
      </c>
      <c r="O6" s="239">
        <f>K6*P6</f>
        <v>0</v>
      </c>
      <c r="P6" s="300">
        <v>0</v>
      </c>
      <c r="Q6" s="257" t="s">
        <v>1090</v>
      </c>
      <c r="R6" s="260">
        <f>K6*S6</f>
        <v>0</v>
      </c>
      <c r="S6" s="395">
        <v>0</v>
      </c>
      <c r="T6" s="258">
        <f t="shared" si="0"/>
        <v>5000</v>
      </c>
      <c r="U6" s="395">
        <v>0.5</v>
      </c>
      <c r="V6" s="184">
        <f>K6*AM6</f>
        <v>0</v>
      </c>
      <c r="W6" s="260">
        <f>Tableau13[[#This Row],[Subvention ANRU]]*12.5%</f>
        <v>0</v>
      </c>
      <c r="X6" s="288"/>
      <c r="Y6" s="288"/>
      <c r="Z6" s="260"/>
      <c r="AA6" s="260">
        <f>Tableau13[[#This Row],[Bailleurs]]*12.5%</f>
        <v>0</v>
      </c>
      <c r="AB6" s="322"/>
      <c r="AC6" s="322"/>
      <c r="AD6" s="336"/>
      <c r="AE6" s="336"/>
      <c r="AF6" s="336"/>
      <c r="AG6" s="336"/>
      <c r="AH6" s="336"/>
      <c r="AI6" s="260"/>
      <c r="AJ6" s="260"/>
      <c r="AK6" s="260"/>
      <c r="AL6" s="260"/>
      <c r="AM6" s="300"/>
      <c r="AN6" s="260">
        <f>K6*AO6</f>
        <v>5000</v>
      </c>
      <c r="AO6" s="249">
        <v>0.5</v>
      </c>
      <c r="AP6" s="260">
        <f>K6*AQ6</f>
        <v>0</v>
      </c>
      <c r="AQ6" s="300"/>
      <c r="AR6" s="260">
        <f>K6*AS6</f>
        <v>0</v>
      </c>
      <c r="AS6" s="300"/>
      <c r="AT6" s="260">
        <f>K6*AU6</f>
        <v>0</v>
      </c>
      <c r="AU6" s="300"/>
      <c r="AV6" s="377">
        <f>K6*AW6</f>
        <v>0</v>
      </c>
      <c r="AW6" s="300"/>
      <c r="AX6" s="379">
        <v>42372</v>
      </c>
      <c r="AY6" s="366">
        <v>3</v>
      </c>
      <c r="AZ6" s="34">
        <f>Tableau13[[#This Row],[Bailleurs]]-SUM(Tableau13[[#This Row],[LOGIREP]:[France Habitation]])</f>
        <v>0</v>
      </c>
      <c r="BA6" s="34">
        <f>Tableau13[[#This Row],[Base de financement]]-Tableau13[[#This Row],[Subvention ANRU]]-Tableau13[[#This Row],[Ville]]-Tableau13[[#This Row],[Plaine Commune]]-Tableau13[[#This Row],[Bailleurs]]-Tableau13[[#This Row],[CDC]]-Tableau13[[#This Row],[Autres]]</f>
        <v>0</v>
      </c>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5"/>
      <c r="EH6" s="35"/>
      <c r="EI6" s="35"/>
      <c r="EJ6" s="35"/>
      <c r="EK6" s="35"/>
      <c r="EL6" s="35"/>
      <c r="EM6" s="35"/>
      <c r="EN6" s="35"/>
      <c r="EO6" s="35"/>
      <c r="EP6" s="35"/>
      <c r="EQ6" s="35"/>
      <c r="ER6" s="35"/>
      <c r="ES6" s="35"/>
      <c r="ET6" s="35"/>
    </row>
    <row r="7" spans="1:150" s="262" customFormat="1" ht="60" customHeight="1" x14ac:dyDescent="0.25">
      <c r="A7" s="252" t="s">
        <v>807</v>
      </c>
      <c r="B7" s="353" t="s">
        <v>795</v>
      </c>
      <c r="C7" s="293" t="s">
        <v>808</v>
      </c>
      <c r="D7" s="358" t="s">
        <v>809</v>
      </c>
      <c r="E7" s="171">
        <v>40</v>
      </c>
      <c r="F7" s="171">
        <v>60</v>
      </c>
      <c r="G7" s="171"/>
      <c r="H7" s="248" t="s">
        <v>798</v>
      </c>
      <c r="I7" s="24" t="s">
        <v>799</v>
      </c>
      <c r="J7" s="238" t="s">
        <v>800</v>
      </c>
      <c r="K7" s="167">
        <v>30000</v>
      </c>
      <c r="L7" s="362">
        <v>0.2</v>
      </c>
      <c r="M7" s="364">
        <v>36000</v>
      </c>
      <c r="N7" s="364">
        <v>30000</v>
      </c>
      <c r="O7" s="364">
        <f>N7*P7</f>
        <v>0</v>
      </c>
      <c r="P7" s="362">
        <v>0</v>
      </c>
      <c r="Q7" s="257" t="s">
        <v>801</v>
      </c>
      <c r="R7" s="273">
        <v>0</v>
      </c>
      <c r="S7" s="395">
        <v>0</v>
      </c>
      <c r="T7" s="367">
        <f t="shared" si="0"/>
        <v>15000</v>
      </c>
      <c r="U7" s="362">
        <v>0.5</v>
      </c>
      <c r="V7" s="170">
        <v>0</v>
      </c>
      <c r="W7" s="273">
        <f>Tableau13[[#This Row],[Subvention ANRU]]*12.5%</f>
        <v>0</v>
      </c>
      <c r="X7" s="289"/>
      <c r="Y7" s="289"/>
      <c r="Z7" s="273"/>
      <c r="AA7" s="273">
        <f>Tableau13[[#This Row],[Bailleurs]]*12.5%</f>
        <v>0</v>
      </c>
      <c r="AB7" s="320"/>
      <c r="AC7" s="320"/>
      <c r="AD7" s="334"/>
      <c r="AE7" s="334"/>
      <c r="AF7" s="334"/>
      <c r="AG7" s="334"/>
      <c r="AH7" s="334"/>
      <c r="AI7" s="273"/>
      <c r="AJ7" s="273"/>
      <c r="AK7" s="273"/>
      <c r="AL7" s="273"/>
      <c r="AM7" s="362"/>
      <c r="AN7" s="273">
        <f>K7*AO7</f>
        <v>15000</v>
      </c>
      <c r="AO7" s="375">
        <v>0.5</v>
      </c>
      <c r="AP7" s="273">
        <v>0</v>
      </c>
      <c r="AQ7" s="362"/>
      <c r="AR7" s="273">
        <v>0</v>
      </c>
      <c r="AS7" s="362"/>
      <c r="AT7" s="273">
        <v>0</v>
      </c>
      <c r="AU7" s="362"/>
      <c r="AV7" s="376">
        <v>0</v>
      </c>
      <c r="AW7" s="362"/>
      <c r="AX7" s="378">
        <v>42370</v>
      </c>
      <c r="AY7" s="257">
        <v>3</v>
      </c>
      <c r="AZ7" s="34">
        <f>Tableau13[[#This Row],[Bailleurs]]-SUM(Tableau13[[#This Row],[LOGIREP]:[France Habitation]])</f>
        <v>0</v>
      </c>
      <c r="BA7" s="34">
        <f>Tableau13[[#This Row],[Base de financement]]-Tableau13[[#This Row],[Subvention ANRU]]-Tableau13[[#This Row],[Ville]]-Tableau13[[#This Row],[Plaine Commune]]-Tableau13[[#This Row],[Bailleurs]]-Tableau13[[#This Row],[CDC]]-Tableau13[[#This Row],[Autres]]</f>
        <v>0</v>
      </c>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5"/>
      <c r="EH7" s="35"/>
      <c r="EI7" s="35"/>
      <c r="EJ7" s="35"/>
      <c r="EK7" s="35"/>
      <c r="EL7" s="35"/>
      <c r="EM7" s="35"/>
      <c r="EN7" s="35"/>
      <c r="EO7" s="35"/>
      <c r="EP7" s="35"/>
      <c r="EQ7" s="35"/>
      <c r="ER7" s="35"/>
      <c r="ES7" s="35"/>
      <c r="ET7" s="35"/>
    </row>
    <row r="8" spans="1:150" s="262" customFormat="1" ht="60" customHeight="1" x14ac:dyDescent="0.25">
      <c r="A8" s="252" t="s">
        <v>343</v>
      </c>
      <c r="B8" s="353" t="s">
        <v>795</v>
      </c>
      <c r="C8" s="356" t="s">
        <v>810</v>
      </c>
      <c r="D8" s="359" t="s">
        <v>811</v>
      </c>
      <c r="E8" s="477"/>
      <c r="F8" s="477"/>
      <c r="G8" s="477"/>
      <c r="H8" s="385" t="s">
        <v>798</v>
      </c>
      <c r="I8" s="24" t="s">
        <v>799</v>
      </c>
      <c r="J8" s="238" t="s">
        <v>800</v>
      </c>
      <c r="K8" s="361">
        <v>5000</v>
      </c>
      <c r="L8" s="300">
        <v>0.2</v>
      </c>
      <c r="M8" s="239">
        <f>K8*(1+L8)</f>
        <v>6000</v>
      </c>
      <c r="N8" s="239">
        <v>5000</v>
      </c>
      <c r="O8" s="239">
        <f>N8*P8</f>
        <v>0</v>
      </c>
      <c r="P8" s="300">
        <v>0</v>
      </c>
      <c r="Q8" s="257" t="s">
        <v>1090</v>
      </c>
      <c r="R8" s="260">
        <v>0</v>
      </c>
      <c r="S8" s="300">
        <v>0</v>
      </c>
      <c r="T8" s="258">
        <f t="shared" si="0"/>
        <v>2500</v>
      </c>
      <c r="U8" s="395">
        <v>0.5</v>
      </c>
      <c r="V8" s="184">
        <f>N8*AM8</f>
        <v>0</v>
      </c>
      <c r="W8" s="260">
        <f>Tableau13[[#This Row],[Subvention ANRU]]*12.5%</f>
        <v>0</v>
      </c>
      <c r="X8" s="288"/>
      <c r="Y8" s="288"/>
      <c r="Z8" s="260"/>
      <c r="AA8" s="260">
        <f>Tableau13[[#This Row],[Bailleurs]]*12.5%</f>
        <v>0</v>
      </c>
      <c r="AB8" s="322"/>
      <c r="AC8" s="322"/>
      <c r="AD8" s="336"/>
      <c r="AE8" s="336"/>
      <c r="AF8" s="336"/>
      <c r="AG8" s="336"/>
      <c r="AH8" s="336"/>
      <c r="AI8" s="260"/>
      <c r="AJ8" s="260"/>
      <c r="AK8" s="260"/>
      <c r="AL8" s="260"/>
      <c r="AM8" s="300"/>
      <c r="AN8" s="260">
        <f>N8*AO8</f>
        <v>2500</v>
      </c>
      <c r="AO8" s="249">
        <v>0.5</v>
      </c>
      <c r="AP8" s="260">
        <f>N8*AQ8</f>
        <v>0</v>
      </c>
      <c r="AQ8" s="300"/>
      <c r="AR8" s="260">
        <f>N8*AS8</f>
        <v>0</v>
      </c>
      <c r="AS8" s="300"/>
      <c r="AT8" s="260">
        <f>N8*AU8</f>
        <v>0</v>
      </c>
      <c r="AU8" s="300"/>
      <c r="AV8" s="377">
        <f>N8*AW8</f>
        <v>0</v>
      </c>
      <c r="AW8" s="300"/>
      <c r="AX8" s="379">
        <v>42372</v>
      </c>
      <c r="AY8" s="366">
        <v>3</v>
      </c>
      <c r="AZ8" s="34">
        <f>Tableau13[[#This Row],[Bailleurs]]-SUM(Tableau13[[#This Row],[LOGIREP]:[France Habitation]])</f>
        <v>0</v>
      </c>
      <c r="BA8" s="34">
        <f>Tableau13[[#This Row],[Base de financement]]-Tableau13[[#This Row],[Subvention ANRU]]-Tableau13[[#This Row],[Ville]]-Tableau13[[#This Row],[Plaine Commune]]-Tableau13[[#This Row],[Bailleurs]]-Tableau13[[#This Row],[CDC]]-Tableau13[[#This Row],[Autres]]</f>
        <v>0</v>
      </c>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5"/>
      <c r="EH8" s="35"/>
      <c r="EI8" s="35"/>
      <c r="EJ8" s="35"/>
      <c r="EK8" s="35"/>
      <c r="EL8" s="35"/>
      <c r="EM8" s="35"/>
      <c r="EN8" s="35"/>
      <c r="EO8" s="35"/>
      <c r="EP8" s="35"/>
      <c r="EQ8" s="35"/>
      <c r="ER8" s="35"/>
      <c r="ES8" s="35"/>
      <c r="ET8" s="35"/>
    </row>
    <row r="9" spans="1:150" s="262" customFormat="1" ht="60" customHeight="1" x14ac:dyDescent="0.25">
      <c r="A9" s="252" t="s">
        <v>812</v>
      </c>
      <c r="B9" s="353" t="s">
        <v>795</v>
      </c>
      <c r="C9" s="354" t="s">
        <v>813</v>
      </c>
      <c r="D9" s="358" t="s">
        <v>814</v>
      </c>
      <c r="E9" s="171"/>
      <c r="F9" s="171"/>
      <c r="G9" s="171"/>
      <c r="H9" s="248" t="s">
        <v>798</v>
      </c>
      <c r="I9" s="24" t="s">
        <v>799</v>
      </c>
      <c r="J9" s="238" t="s">
        <v>800</v>
      </c>
      <c r="K9" s="167">
        <v>75000</v>
      </c>
      <c r="L9" s="362">
        <v>0.2</v>
      </c>
      <c r="M9" s="364">
        <f>K9*(1+L9)</f>
        <v>90000</v>
      </c>
      <c r="N9" s="364">
        <v>75000</v>
      </c>
      <c r="O9" s="364">
        <f>K9*P9</f>
        <v>0</v>
      </c>
      <c r="P9" s="362">
        <v>0</v>
      </c>
      <c r="Q9" s="257" t="s">
        <v>815</v>
      </c>
      <c r="R9" s="273">
        <v>0</v>
      </c>
      <c r="S9" s="395">
        <v>0</v>
      </c>
      <c r="T9" s="367">
        <f t="shared" si="0"/>
        <v>37500</v>
      </c>
      <c r="U9" s="368">
        <v>0.5</v>
      </c>
      <c r="V9" s="170">
        <f>K9*AM9</f>
        <v>0</v>
      </c>
      <c r="W9" s="273">
        <f>Tableau13[[#This Row],[Subvention ANRU]]*12.5%</f>
        <v>0</v>
      </c>
      <c r="X9" s="289"/>
      <c r="Y9" s="289"/>
      <c r="Z9" s="273"/>
      <c r="AA9" s="273">
        <f>Tableau13[[#This Row],[Bailleurs]]*12.5%</f>
        <v>0</v>
      </c>
      <c r="AB9" s="320"/>
      <c r="AC9" s="320"/>
      <c r="AD9" s="334"/>
      <c r="AE9" s="334"/>
      <c r="AF9" s="334"/>
      <c r="AG9" s="334"/>
      <c r="AH9" s="334"/>
      <c r="AI9" s="273"/>
      <c r="AJ9" s="273"/>
      <c r="AK9" s="273"/>
      <c r="AL9" s="273"/>
      <c r="AM9" s="362"/>
      <c r="AN9" s="273">
        <f>K9*AO9</f>
        <v>37500</v>
      </c>
      <c r="AO9" s="249">
        <v>0.5</v>
      </c>
      <c r="AP9" s="273">
        <f>K9*AQ9</f>
        <v>0</v>
      </c>
      <c r="AQ9" s="362"/>
      <c r="AR9" s="273">
        <f>K9*AS9</f>
        <v>0</v>
      </c>
      <c r="AS9" s="362"/>
      <c r="AT9" s="273">
        <f>K9*AU9</f>
        <v>0</v>
      </c>
      <c r="AU9" s="362"/>
      <c r="AV9" s="376">
        <f>K9*AW9</f>
        <v>0</v>
      </c>
      <c r="AW9" s="362"/>
      <c r="AX9" s="378">
        <v>42491</v>
      </c>
      <c r="AY9" s="257">
        <v>12</v>
      </c>
      <c r="AZ9" s="431">
        <f>Tableau13[[#This Row],[Bailleurs]]-SUM(Tableau13[[#This Row],[LOGIREP]:[France Habitation]])</f>
        <v>0</v>
      </c>
      <c r="BA9" s="34">
        <f>Tableau13[[#This Row],[Base de financement]]-Tableau13[[#This Row],[Subvention ANRU]]-Tableau13[[#This Row],[Ville]]-Tableau13[[#This Row],[Plaine Commune]]-Tableau13[[#This Row],[Bailleurs]]-Tableau13[[#This Row],[CDC]]-Tableau13[[#This Row],[Autres]]</f>
        <v>0</v>
      </c>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5"/>
      <c r="EH9" s="35"/>
      <c r="EI9" s="35"/>
      <c r="EJ9" s="35"/>
      <c r="EK9" s="35"/>
      <c r="EL9" s="35"/>
      <c r="EM9" s="35"/>
      <c r="EN9" s="35"/>
      <c r="EO9" s="35"/>
      <c r="EP9" s="35"/>
      <c r="EQ9" s="35"/>
      <c r="ER9" s="35"/>
      <c r="ES9" s="35"/>
      <c r="ET9" s="35"/>
    </row>
    <row r="10" spans="1:150" s="262" customFormat="1" ht="60" customHeight="1" x14ac:dyDescent="0.25">
      <c r="A10" s="252" t="s">
        <v>163</v>
      </c>
      <c r="B10" s="353" t="s">
        <v>795</v>
      </c>
      <c r="C10" s="354" t="s">
        <v>816</v>
      </c>
      <c r="D10" s="294" t="s">
        <v>803</v>
      </c>
      <c r="E10" s="475"/>
      <c r="F10" s="475"/>
      <c r="G10" s="475"/>
      <c r="H10" s="237" t="s">
        <v>798</v>
      </c>
      <c r="I10" s="24" t="s">
        <v>799</v>
      </c>
      <c r="J10" s="238" t="s">
        <v>800</v>
      </c>
      <c r="K10" s="187">
        <v>12000</v>
      </c>
      <c r="L10" s="297">
        <v>0.2</v>
      </c>
      <c r="M10" s="239">
        <f>K10*(1+L10)</f>
        <v>14400</v>
      </c>
      <c r="N10" s="391">
        <v>12000</v>
      </c>
      <c r="O10" s="364">
        <f>N10*P10</f>
        <v>0</v>
      </c>
      <c r="P10" s="300">
        <v>0</v>
      </c>
      <c r="Q10" s="274"/>
      <c r="R10" s="274"/>
      <c r="S10" s="300"/>
      <c r="T10" s="258">
        <f t="shared" si="0"/>
        <v>6000</v>
      </c>
      <c r="U10" s="396">
        <v>0.5</v>
      </c>
      <c r="V10" s="186">
        <v>0</v>
      </c>
      <c r="W10" s="282">
        <f>Tableau13[[#This Row],[Subvention ANRU]]*12.5%</f>
        <v>0</v>
      </c>
      <c r="X10" s="312"/>
      <c r="Y10" s="312"/>
      <c r="Z10" s="282"/>
      <c r="AA10" s="282">
        <f>Tableau13[[#This Row],[Bailleurs]]*12.5%</f>
        <v>0</v>
      </c>
      <c r="AB10" s="323"/>
      <c r="AC10" s="323"/>
      <c r="AD10" s="337"/>
      <c r="AE10" s="337"/>
      <c r="AF10" s="337"/>
      <c r="AG10" s="337"/>
      <c r="AH10" s="337"/>
      <c r="AI10" s="282"/>
      <c r="AJ10" s="274"/>
      <c r="AK10" s="274"/>
      <c r="AL10" s="274"/>
      <c r="AM10" s="274"/>
      <c r="AN10" s="260">
        <f>N10*AO10</f>
        <v>6000</v>
      </c>
      <c r="AO10" s="249">
        <v>0.5</v>
      </c>
      <c r="AP10" s="274"/>
      <c r="AQ10" s="274"/>
      <c r="AR10" s="274"/>
      <c r="AS10" s="274"/>
      <c r="AT10" s="274"/>
      <c r="AU10" s="274"/>
      <c r="AV10" s="274"/>
      <c r="AW10" s="274"/>
      <c r="AX10" s="274"/>
      <c r="AY10" s="274"/>
      <c r="AZ10" s="34">
        <f>Tableau13[[#This Row],[Bailleurs]]-SUM(Tableau13[[#This Row],[LOGIREP]:[France Habitation]])</f>
        <v>0</v>
      </c>
      <c r="BA10" s="34">
        <f>Tableau13[[#This Row],[Base de financement]]-Tableau13[[#This Row],[Subvention ANRU]]-Tableau13[[#This Row],[Ville]]-Tableau13[[#This Row],[Plaine Commune]]-Tableau13[[#This Row],[Bailleurs]]-Tableau13[[#This Row],[CDC]]-Tableau13[[#This Row],[Autres]]</f>
        <v>0</v>
      </c>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5"/>
      <c r="EH10" s="35"/>
      <c r="EI10" s="35"/>
      <c r="EJ10" s="35"/>
      <c r="EK10" s="35"/>
      <c r="EL10" s="35"/>
      <c r="EM10" s="35"/>
      <c r="EN10" s="35"/>
      <c r="EO10" s="35"/>
      <c r="EP10" s="35"/>
      <c r="EQ10" s="35"/>
      <c r="ER10" s="35"/>
      <c r="ES10" s="35"/>
      <c r="ET10" s="35"/>
    </row>
    <row r="11" spans="1:150" s="262" customFormat="1" ht="60" customHeight="1" x14ac:dyDescent="0.25">
      <c r="A11" s="252" t="s">
        <v>33</v>
      </c>
      <c r="B11" s="353" t="s">
        <v>795</v>
      </c>
      <c r="C11" s="354" t="s">
        <v>817</v>
      </c>
      <c r="D11" s="358" t="s">
        <v>818</v>
      </c>
      <c r="E11" s="171"/>
      <c r="F11" s="171">
        <v>100</v>
      </c>
      <c r="G11" s="171"/>
      <c r="H11" s="248" t="s">
        <v>798</v>
      </c>
      <c r="I11" s="24" t="s">
        <v>799</v>
      </c>
      <c r="J11" s="238" t="s">
        <v>800</v>
      </c>
      <c r="K11" s="167">
        <v>25000</v>
      </c>
      <c r="L11" s="362">
        <v>0.2</v>
      </c>
      <c r="M11" s="364">
        <v>30000</v>
      </c>
      <c r="N11" s="364">
        <v>25000</v>
      </c>
      <c r="O11" s="364">
        <v>0</v>
      </c>
      <c r="P11" s="362">
        <v>0.5</v>
      </c>
      <c r="Q11" s="257" t="s">
        <v>801</v>
      </c>
      <c r="R11" s="273">
        <v>0</v>
      </c>
      <c r="S11" s="395">
        <v>0</v>
      </c>
      <c r="T11" s="367">
        <f t="shared" si="0"/>
        <v>12500</v>
      </c>
      <c r="U11" s="362">
        <v>0.5</v>
      </c>
      <c r="V11" s="170">
        <v>0</v>
      </c>
      <c r="W11" s="273">
        <f>Tableau13[[#This Row],[Subvention ANRU]]*12.5%</f>
        <v>0</v>
      </c>
      <c r="X11" s="289"/>
      <c r="Y11" s="289"/>
      <c r="Z11" s="273"/>
      <c r="AA11" s="273">
        <f>Tableau13[[#This Row],[Bailleurs]]*12.5%</f>
        <v>0</v>
      </c>
      <c r="AB11" s="320"/>
      <c r="AC11" s="320"/>
      <c r="AD11" s="334"/>
      <c r="AE11" s="334"/>
      <c r="AF11" s="334"/>
      <c r="AG11" s="334"/>
      <c r="AH11" s="334"/>
      <c r="AI11" s="273"/>
      <c r="AJ11" s="273"/>
      <c r="AK11" s="273"/>
      <c r="AL11" s="273"/>
      <c r="AM11" s="362"/>
      <c r="AN11" s="273">
        <f>K11*AO11</f>
        <v>12500</v>
      </c>
      <c r="AO11" s="249">
        <v>0.5</v>
      </c>
      <c r="AP11" s="273">
        <v>0</v>
      </c>
      <c r="AQ11" s="362"/>
      <c r="AR11" s="273">
        <v>0</v>
      </c>
      <c r="AS11" s="362"/>
      <c r="AT11" s="273">
        <v>0</v>
      </c>
      <c r="AU11" s="362"/>
      <c r="AV11" s="376">
        <v>0</v>
      </c>
      <c r="AW11" s="362"/>
      <c r="AX11" s="378">
        <v>42430</v>
      </c>
      <c r="AY11" s="401">
        <v>4</v>
      </c>
      <c r="AZ11" s="186">
        <f>Tableau13[[#This Row],[Bailleurs]]-SUM(Tableau13[[#This Row],[LOGIREP]:[France Habitation]])</f>
        <v>0</v>
      </c>
      <c r="BA11" s="34">
        <f>Tableau13[[#This Row],[Base de financement]]-Tableau13[[#This Row],[Subvention ANRU]]-Tableau13[[#This Row],[Ville]]-Tableau13[[#This Row],[Plaine Commune]]-Tableau13[[#This Row],[Bailleurs]]-Tableau13[[#This Row],[CDC]]-Tableau13[[#This Row],[Autres]]</f>
        <v>0</v>
      </c>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5"/>
      <c r="EH11" s="35"/>
      <c r="EI11" s="35"/>
      <c r="EJ11" s="35"/>
      <c r="EK11" s="35"/>
      <c r="EL11" s="35"/>
      <c r="EM11" s="35"/>
      <c r="EN11" s="35"/>
      <c r="EO11" s="35"/>
      <c r="EP11" s="35"/>
      <c r="EQ11" s="35"/>
      <c r="ER11" s="35"/>
      <c r="ES11" s="35"/>
      <c r="ET11" s="35"/>
    </row>
    <row r="12" spans="1:150" s="262" customFormat="1" ht="60" customHeight="1" x14ac:dyDescent="0.25">
      <c r="A12" s="252" t="s">
        <v>33</v>
      </c>
      <c r="B12" s="243" t="s">
        <v>1068</v>
      </c>
      <c r="C12" s="382" t="s">
        <v>1074</v>
      </c>
      <c r="D12" s="263" t="s">
        <v>1069</v>
      </c>
      <c r="E12" s="194"/>
      <c r="F12" s="194">
        <v>100</v>
      </c>
      <c r="G12" s="194"/>
      <c r="H12" s="238" t="s">
        <v>210</v>
      </c>
      <c r="I12" s="24" t="s">
        <v>799</v>
      </c>
      <c r="J12" s="238" t="s">
        <v>1073</v>
      </c>
      <c r="K12" s="290">
        <v>10000</v>
      </c>
      <c r="L12" s="255"/>
      <c r="M12" s="245">
        <v>12000</v>
      </c>
      <c r="N12" s="246">
        <v>10000</v>
      </c>
      <c r="O12" s="246">
        <v>5000</v>
      </c>
      <c r="P12" s="255"/>
      <c r="Q12" s="257"/>
      <c r="R12" s="256"/>
      <c r="S12" s="254"/>
      <c r="T12" s="258">
        <v>5000</v>
      </c>
      <c r="U12" s="259"/>
      <c r="V12" s="174"/>
      <c r="W12" s="251"/>
      <c r="X12" s="287"/>
      <c r="Y12" s="287"/>
      <c r="Z12" s="251"/>
      <c r="AA12" s="251">
        <f>Tableau13[[#This Row],[Bailleurs]]*12.5%</f>
        <v>0</v>
      </c>
      <c r="AB12" s="319"/>
      <c r="AC12" s="319"/>
      <c r="AD12" s="333"/>
      <c r="AE12" s="333"/>
      <c r="AF12" s="333"/>
      <c r="AG12" s="333"/>
      <c r="AH12" s="333"/>
      <c r="AI12" s="251"/>
      <c r="AJ12" s="251"/>
      <c r="AK12" s="251"/>
      <c r="AL12" s="251"/>
      <c r="AM12" s="259"/>
      <c r="AN12" s="260"/>
      <c r="AO12" s="249"/>
      <c r="AP12" s="256"/>
      <c r="AQ12" s="259"/>
      <c r="AR12" s="256"/>
      <c r="AS12" s="259"/>
      <c r="AT12" s="256"/>
      <c r="AU12" s="259"/>
      <c r="AV12" s="255"/>
      <c r="AW12" s="259"/>
      <c r="AX12" s="261"/>
      <c r="AY12" s="254"/>
      <c r="AZ12" s="34">
        <f>Tableau13[[#This Row],[Bailleurs]]-SUM(Tableau13[[#This Row],[LOGIREP]:[France Habitation]])</f>
        <v>0</v>
      </c>
      <c r="BA12" s="34">
        <f>Tableau13[[#This Row],[Base de financement]]-Tableau13[[#This Row],[Subvention ANRU]]-Tableau13[[#This Row],[Ville]]-Tableau13[[#This Row],[Plaine Commune]]-Tableau13[[#This Row],[Bailleurs]]-Tableau13[[#This Row],[CDC]]-Tableau13[[#This Row],[Autres]]</f>
        <v>0</v>
      </c>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5"/>
      <c r="EH12" s="35"/>
      <c r="EI12" s="35"/>
      <c r="EJ12" s="35"/>
      <c r="EK12" s="35"/>
      <c r="EL12" s="35"/>
      <c r="EM12" s="35"/>
      <c r="EN12" s="35"/>
      <c r="EO12" s="35"/>
      <c r="EP12" s="35"/>
      <c r="EQ12" s="35"/>
      <c r="ER12" s="35"/>
      <c r="ES12" s="35"/>
      <c r="ET12" s="35"/>
    </row>
    <row r="13" spans="1:150" s="262" customFormat="1" ht="60" customHeight="1" x14ac:dyDescent="0.25">
      <c r="A13" s="252" t="s">
        <v>812</v>
      </c>
      <c r="B13" s="243" t="s">
        <v>1068</v>
      </c>
      <c r="C13" s="253" t="s">
        <v>1076</v>
      </c>
      <c r="D13" s="263" t="s">
        <v>1069</v>
      </c>
      <c r="E13" s="194"/>
      <c r="F13" s="194"/>
      <c r="G13" s="194"/>
      <c r="H13" s="238" t="s">
        <v>210</v>
      </c>
      <c r="I13" s="24" t="s">
        <v>799</v>
      </c>
      <c r="J13" s="238" t="s">
        <v>1073</v>
      </c>
      <c r="K13" s="290">
        <v>10000</v>
      </c>
      <c r="L13" s="255"/>
      <c r="M13" s="245">
        <v>12000</v>
      </c>
      <c r="N13" s="246">
        <v>10000</v>
      </c>
      <c r="O13" s="246">
        <v>5000</v>
      </c>
      <c r="P13" s="255"/>
      <c r="Q13" s="257"/>
      <c r="R13" s="256"/>
      <c r="S13" s="254"/>
      <c r="T13" s="258">
        <v>5000</v>
      </c>
      <c r="U13" s="259"/>
      <c r="V13" s="174"/>
      <c r="W13" s="251"/>
      <c r="X13" s="287"/>
      <c r="Y13" s="287"/>
      <c r="Z13" s="251"/>
      <c r="AA13" s="251">
        <f>Tableau13[[#This Row],[Bailleurs]]*12.5%</f>
        <v>0</v>
      </c>
      <c r="AB13" s="319"/>
      <c r="AC13" s="319"/>
      <c r="AD13" s="333"/>
      <c r="AE13" s="333"/>
      <c r="AF13" s="333"/>
      <c r="AG13" s="333"/>
      <c r="AH13" s="333"/>
      <c r="AI13" s="251"/>
      <c r="AJ13" s="251"/>
      <c r="AK13" s="251"/>
      <c r="AL13" s="251"/>
      <c r="AM13" s="259"/>
      <c r="AN13" s="260"/>
      <c r="AO13" s="249"/>
      <c r="AP13" s="256"/>
      <c r="AQ13" s="259"/>
      <c r="AR13" s="256"/>
      <c r="AS13" s="259"/>
      <c r="AT13" s="256"/>
      <c r="AU13" s="259"/>
      <c r="AV13" s="255"/>
      <c r="AW13" s="259"/>
      <c r="AX13" s="261"/>
      <c r="AY13" s="254"/>
      <c r="AZ13" s="34">
        <f>Tableau13[[#This Row],[Bailleurs]]-SUM(Tableau13[[#This Row],[LOGIREP]:[France Habitation]])</f>
        <v>0</v>
      </c>
      <c r="BA13" s="34">
        <f>Tableau13[[#This Row],[Base de financement]]-Tableau13[[#This Row],[Subvention ANRU]]-Tableau13[[#This Row],[Ville]]-Tableau13[[#This Row],[Plaine Commune]]-Tableau13[[#This Row],[Bailleurs]]-Tableau13[[#This Row],[CDC]]-Tableau13[[#This Row],[Autres]]</f>
        <v>0</v>
      </c>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5"/>
      <c r="EH13" s="35"/>
      <c r="EI13" s="35"/>
      <c r="EJ13" s="35"/>
      <c r="EK13" s="35"/>
      <c r="EL13" s="35"/>
      <c r="EM13" s="35"/>
      <c r="EN13" s="35"/>
      <c r="EO13" s="35"/>
      <c r="EP13" s="35"/>
      <c r="EQ13" s="35"/>
      <c r="ER13" s="35"/>
      <c r="ES13" s="35"/>
      <c r="ET13" s="35"/>
    </row>
    <row r="14" spans="1:150" s="262" customFormat="1" ht="60" customHeight="1" x14ac:dyDescent="0.25">
      <c r="A14" s="252" t="s">
        <v>163</v>
      </c>
      <c r="B14" s="243" t="s">
        <v>1068</v>
      </c>
      <c r="C14" s="253" t="s">
        <v>1079</v>
      </c>
      <c r="D14" s="263" t="s">
        <v>1069</v>
      </c>
      <c r="E14" s="194"/>
      <c r="F14" s="194"/>
      <c r="G14" s="194"/>
      <c r="H14" s="238" t="s">
        <v>210</v>
      </c>
      <c r="I14" s="24" t="s">
        <v>799</v>
      </c>
      <c r="J14" s="238" t="s">
        <v>1073</v>
      </c>
      <c r="K14" s="290">
        <v>10000</v>
      </c>
      <c r="L14" s="255"/>
      <c r="M14" s="245">
        <v>12000</v>
      </c>
      <c r="N14" s="246">
        <v>10000</v>
      </c>
      <c r="O14" s="246">
        <v>5000</v>
      </c>
      <c r="P14" s="255"/>
      <c r="Q14" s="257"/>
      <c r="R14" s="256"/>
      <c r="S14" s="254"/>
      <c r="T14" s="258">
        <v>5000</v>
      </c>
      <c r="U14" s="259"/>
      <c r="V14" s="174"/>
      <c r="W14" s="251"/>
      <c r="X14" s="287"/>
      <c r="Y14" s="287"/>
      <c r="Z14" s="251"/>
      <c r="AA14" s="251">
        <f>Tableau13[[#This Row],[Bailleurs]]*12.5%</f>
        <v>0</v>
      </c>
      <c r="AB14" s="319"/>
      <c r="AC14" s="319"/>
      <c r="AD14" s="333"/>
      <c r="AE14" s="333"/>
      <c r="AF14" s="333"/>
      <c r="AG14" s="333"/>
      <c r="AH14" s="333"/>
      <c r="AI14" s="251"/>
      <c r="AJ14" s="251"/>
      <c r="AK14" s="251"/>
      <c r="AL14" s="251"/>
      <c r="AM14" s="259"/>
      <c r="AN14" s="260"/>
      <c r="AO14" s="249"/>
      <c r="AP14" s="256"/>
      <c r="AQ14" s="259"/>
      <c r="AR14" s="256"/>
      <c r="AS14" s="259"/>
      <c r="AT14" s="256"/>
      <c r="AU14" s="259"/>
      <c r="AV14" s="255"/>
      <c r="AW14" s="259"/>
      <c r="AX14" s="261"/>
      <c r="AY14" s="254"/>
      <c r="AZ14" s="34">
        <f>Tableau13[[#This Row],[Bailleurs]]-SUM(Tableau13[[#This Row],[LOGIREP]:[France Habitation]])</f>
        <v>0</v>
      </c>
      <c r="BA14" s="34">
        <f>Tableau13[[#This Row],[Base de financement]]-Tableau13[[#This Row],[Subvention ANRU]]-Tableau13[[#This Row],[Ville]]-Tableau13[[#This Row],[Plaine Commune]]-Tableau13[[#This Row],[Bailleurs]]-Tableau13[[#This Row],[CDC]]-Tableau13[[#This Row],[Autres]]</f>
        <v>0</v>
      </c>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5"/>
      <c r="EH14" s="35"/>
      <c r="EI14" s="35"/>
      <c r="EJ14" s="35"/>
      <c r="EK14" s="35"/>
      <c r="EL14" s="35"/>
      <c r="EM14" s="35"/>
      <c r="EN14" s="35"/>
      <c r="EO14" s="35"/>
      <c r="EP14" s="35"/>
      <c r="EQ14" s="35"/>
      <c r="ER14" s="35"/>
      <c r="ES14" s="35"/>
      <c r="ET14" s="35"/>
    </row>
    <row r="15" spans="1:150" s="262" customFormat="1" ht="60" customHeight="1" x14ac:dyDescent="0.25">
      <c r="A15" s="252" t="s">
        <v>812</v>
      </c>
      <c r="B15" s="243" t="s">
        <v>1068</v>
      </c>
      <c r="C15" s="253" t="s">
        <v>1078</v>
      </c>
      <c r="D15" s="263" t="s">
        <v>1069</v>
      </c>
      <c r="E15" s="194"/>
      <c r="F15" s="194"/>
      <c r="G15" s="194"/>
      <c r="H15" s="238" t="s">
        <v>210</v>
      </c>
      <c r="I15" s="24" t="s">
        <v>799</v>
      </c>
      <c r="J15" s="238" t="s">
        <v>1073</v>
      </c>
      <c r="K15" s="290">
        <v>10000</v>
      </c>
      <c r="L15" s="255"/>
      <c r="M15" s="245">
        <v>12000</v>
      </c>
      <c r="N15" s="246">
        <v>10000</v>
      </c>
      <c r="O15" s="246">
        <v>5000</v>
      </c>
      <c r="P15" s="255"/>
      <c r="Q15" s="257"/>
      <c r="R15" s="256"/>
      <c r="S15" s="254"/>
      <c r="T15" s="258">
        <v>5000</v>
      </c>
      <c r="U15" s="259"/>
      <c r="V15" s="174"/>
      <c r="W15" s="251"/>
      <c r="X15" s="287"/>
      <c r="Y15" s="287"/>
      <c r="Z15" s="251"/>
      <c r="AA15" s="251">
        <f>Tableau13[[#This Row],[Bailleurs]]*12.5%</f>
        <v>0</v>
      </c>
      <c r="AB15" s="319"/>
      <c r="AC15" s="319"/>
      <c r="AD15" s="333"/>
      <c r="AE15" s="333"/>
      <c r="AF15" s="333"/>
      <c r="AG15" s="333"/>
      <c r="AH15" s="333"/>
      <c r="AI15" s="251"/>
      <c r="AJ15" s="251"/>
      <c r="AK15" s="251"/>
      <c r="AL15" s="251"/>
      <c r="AM15" s="259"/>
      <c r="AN15" s="260"/>
      <c r="AO15" s="249"/>
      <c r="AP15" s="256"/>
      <c r="AQ15" s="259"/>
      <c r="AR15" s="256"/>
      <c r="AS15" s="259"/>
      <c r="AT15" s="256"/>
      <c r="AU15" s="259"/>
      <c r="AV15" s="255"/>
      <c r="AW15" s="259"/>
      <c r="AX15" s="261"/>
      <c r="AY15" s="254"/>
      <c r="AZ15" s="34">
        <f>Tableau13[[#This Row],[Bailleurs]]-SUM(Tableau13[[#This Row],[LOGIREP]:[France Habitation]])</f>
        <v>0</v>
      </c>
      <c r="BA15" s="34">
        <f>Tableau13[[#This Row],[Base de financement]]-Tableau13[[#This Row],[Subvention ANRU]]-Tableau13[[#This Row],[Ville]]-Tableau13[[#This Row],[Plaine Commune]]-Tableau13[[#This Row],[Bailleurs]]-Tableau13[[#This Row],[CDC]]-Tableau13[[#This Row],[Autres]]</f>
        <v>0</v>
      </c>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5"/>
      <c r="EH15" s="35"/>
      <c r="EI15" s="35"/>
      <c r="EJ15" s="35"/>
      <c r="EK15" s="35"/>
      <c r="EL15" s="35"/>
      <c r="EM15" s="35"/>
      <c r="EN15" s="35"/>
      <c r="EO15" s="35"/>
      <c r="EP15" s="35"/>
      <c r="EQ15" s="35"/>
      <c r="ER15" s="35"/>
      <c r="ES15" s="35"/>
      <c r="ET15" s="35"/>
    </row>
    <row r="16" spans="1:150" s="36" customFormat="1" ht="60" customHeight="1" x14ac:dyDescent="0.25">
      <c r="A16" s="21" t="s">
        <v>812</v>
      </c>
      <c r="B16" s="74" t="s">
        <v>1068</v>
      </c>
      <c r="C16" s="23" t="s">
        <v>1077</v>
      </c>
      <c r="D16" s="194" t="s">
        <v>1069</v>
      </c>
      <c r="E16" s="194"/>
      <c r="F16" s="194"/>
      <c r="G16" s="194"/>
      <c r="H16" s="24" t="s">
        <v>210</v>
      </c>
      <c r="I16" s="24" t="s">
        <v>799</v>
      </c>
      <c r="J16" s="24" t="s">
        <v>1073</v>
      </c>
      <c r="K16" s="290">
        <v>10000</v>
      </c>
      <c r="L16" s="26"/>
      <c r="M16" s="25">
        <v>12000</v>
      </c>
      <c r="N16" s="27">
        <v>10000</v>
      </c>
      <c r="O16" s="27">
        <v>5000</v>
      </c>
      <c r="P16" s="26"/>
      <c r="Q16" s="29"/>
      <c r="R16" s="27"/>
      <c r="S16" s="24"/>
      <c r="T16" s="258">
        <v>5000</v>
      </c>
      <c r="U16" s="28"/>
      <c r="V16" s="174"/>
      <c r="W16" s="369"/>
      <c r="X16" s="369"/>
      <c r="Y16" s="369"/>
      <c r="Z16" s="369"/>
      <c r="AA16" s="369">
        <f>Tableau13[[#This Row],[Bailleurs]]*12.5%</f>
        <v>0</v>
      </c>
      <c r="AB16" s="369"/>
      <c r="AC16" s="369"/>
      <c r="AD16" s="369"/>
      <c r="AE16" s="369"/>
      <c r="AF16" s="369"/>
      <c r="AG16" s="369"/>
      <c r="AH16" s="369"/>
      <c r="AI16" s="369"/>
      <c r="AJ16" s="369"/>
      <c r="AK16" s="369"/>
      <c r="AL16" s="369"/>
      <c r="AM16" s="28"/>
      <c r="AN16" s="31"/>
      <c r="AO16" s="42"/>
      <c r="AP16" s="27"/>
      <c r="AQ16" s="28"/>
      <c r="AR16" s="27"/>
      <c r="AS16" s="28"/>
      <c r="AT16" s="27"/>
      <c r="AU16" s="28"/>
      <c r="AV16" s="26"/>
      <c r="AW16" s="28"/>
      <c r="AX16" s="33"/>
      <c r="AY16" s="24"/>
      <c r="AZ16" s="34">
        <f>Tableau13[[#This Row],[Bailleurs]]-SUM(Tableau13[[#This Row],[LOGIREP]:[France Habitation]])</f>
        <v>0</v>
      </c>
      <c r="BA16" s="34">
        <f>Tableau13[[#This Row],[Base de financement]]-Tableau13[[#This Row],[Subvention ANRU]]-Tableau13[[#This Row],[Ville]]-Tableau13[[#This Row],[Plaine Commune]]-Tableau13[[#This Row],[Bailleurs]]-Tableau13[[#This Row],[CDC]]-Tableau13[[#This Row],[Autres]]</f>
        <v>0</v>
      </c>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5"/>
      <c r="EH16" s="35"/>
      <c r="EI16" s="35"/>
      <c r="EJ16" s="35"/>
      <c r="EK16" s="35"/>
      <c r="EL16" s="35"/>
      <c r="EM16" s="35"/>
      <c r="EN16" s="35"/>
      <c r="EO16" s="35"/>
      <c r="EP16" s="35"/>
      <c r="EQ16" s="35"/>
      <c r="ER16" s="35"/>
      <c r="ES16" s="35"/>
      <c r="ET16" s="35"/>
    </row>
    <row r="17" spans="1:150" s="36" customFormat="1" ht="60" customHeight="1" x14ac:dyDescent="0.25">
      <c r="A17" s="21" t="s">
        <v>343</v>
      </c>
      <c r="B17" s="74" t="s">
        <v>1068</v>
      </c>
      <c r="C17" s="23" t="s">
        <v>1080</v>
      </c>
      <c r="D17" s="295" t="s">
        <v>1069</v>
      </c>
      <c r="E17" s="478"/>
      <c r="F17" s="478"/>
      <c r="G17" s="478"/>
      <c r="H17" s="24" t="s">
        <v>210</v>
      </c>
      <c r="I17" s="24" t="s">
        <v>799</v>
      </c>
      <c r="J17" s="24" t="s">
        <v>1073</v>
      </c>
      <c r="K17" s="25">
        <v>10000</v>
      </c>
      <c r="L17" s="26"/>
      <c r="M17" s="25">
        <v>12000</v>
      </c>
      <c r="N17" s="27">
        <v>10000</v>
      </c>
      <c r="O17" s="27">
        <v>5000</v>
      </c>
      <c r="P17" s="26"/>
      <c r="Q17" s="29"/>
      <c r="R17" s="27"/>
      <c r="S17" s="24"/>
      <c r="T17" s="258">
        <v>5000</v>
      </c>
      <c r="U17" s="28"/>
      <c r="V17" s="27"/>
      <c r="W17" s="303"/>
      <c r="X17" s="287"/>
      <c r="Y17" s="287"/>
      <c r="Z17" s="303"/>
      <c r="AA17" s="303">
        <f>Tableau13[[#This Row],[Bailleurs]]*12.5%</f>
        <v>0</v>
      </c>
      <c r="AB17" s="319"/>
      <c r="AC17" s="319"/>
      <c r="AD17" s="333"/>
      <c r="AE17" s="333"/>
      <c r="AF17" s="333"/>
      <c r="AG17" s="333"/>
      <c r="AH17" s="333"/>
      <c r="AI17" s="251"/>
      <c r="AJ17" s="303"/>
      <c r="AK17" s="251"/>
      <c r="AL17" s="303"/>
      <c r="AM17" s="28"/>
      <c r="AN17" s="31"/>
      <c r="AO17" s="42"/>
      <c r="AP17" s="27"/>
      <c r="AQ17" s="28"/>
      <c r="AR17" s="27"/>
      <c r="AS17" s="28"/>
      <c r="AT17" s="27"/>
      <c r="AU17" s="28"/>
      <c r="AV17" s="26"/>
      <c r="AW17" s="28"/>
      <c r="AX17" s="33"/>
      <c r="AY17" s="24"/>
      <c r="AZ17" s="34">
        <f>Tableau13[[#This Row],[Bailleurs]]-SUM(Tableau13[[#This Row],[LOGIREP]:[France Habitation]])</f>
        <v>0</v>
      </c>
      <c r="BA17" s="34">
        <f>Tableau13[[#This Row],[Base de financement]]-Tableau13[[#This Row],[Subvention ANRU]]-Tableau13[[#This Row],[Ville]]-Tableau13[[#This Row],[Plaine Commune]]-Tableau13[[#This Row],[Bailleurs]]-Tableau13[[#This Row],[CDC]]-Tableau13[[#This Row],[Autres]]</f>
        <v>0</v>
      </c>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43"/>
      <c r="EH17" s="44"/>
      <c r="EI17" s="44"/>
      <c r="EJ17" s="44"/>
      <c r="EK17" s="44"/>
      <c r="EL17" s="44"/>
      <c r="EM17" s="44"/>
      <c r="EN17" s="44"/>
      <c r="EO17" s="44"/>
      <c r="EP17" s="44"/>
      <c r="EQ17" s="44"/>
      <c r="ER17" s="44"/>
      <c r="ES17" s="44"/>
      <c r="ET17" s="44"/>
    </row>
    <row r="18" spans="1:150" s="36" customFormat="1" ht="60" customHeight="1" x14ac:dyDescent="0.25">
      <c r="A18" s="21" t="s">
        <v>550</v>
      </c>
      <c r="B18" s="74" t="s">
        <v>1068</v>
      </c>
      <c r="C18" s="23" t="s">
        <v>1081</v>
      </c>
      <c r="D18" s="295" t="s">
        <v>1069</v>
      </c>
      <c r="E18" s="478"/>
      <c r="F18" s="478"/>
      <c r="G18" s="478"/>
      <c r="H18" s="24" t="s">
        <v>210</v>
      </c>
      <c r="I18" s="24" t="s">
        <v>799</v>
      </c>
      <c r="J18" s="24" t="s">
        <v>1073</v>
      </c>
      <c r="K18" s="25">
        <v>10000</v>
      </c>
      <c r="L18" s="26"/>
      <c r="M18" s="25">
        <v>12000</v>
      </c>
      <c r="N18" s="27">
        <v>10000</v>
      </c>
      <c r="O18" s="27">
        <v>5000</v>
      </c>
      <c r="P18" s="26"/>
      <c r="Q18" s="29"/>
      <c r="R18" s="27"/>
      <c r="S18" s="24"/>
      <c r="T18" s="258">
        <v>5000</v>
      </c>
      <c r="U18" s="28"/>
      <c r="V18" s="27"/>
      <c r="W18" s="303"/>
      <c r="X18" s="287"/>
      <c r="Y18" s="287"/>
      <c r="Z18" s="303"/>
      <c r="AA18" s="303">
        <f>Tableau13[[#This Row],[Bailleurs]]*12.5%</f>
        <v>0</v>
      </c>
      <c r="AB18" s="319"/>
      <c r="AC18" s="319"/>
      <c r="AD18" s="333"/>
      <c r="AE18" s="333"/>
      <c r="AF18" s="333"/>
      <c r="AG18" s="333"/>
      <c r="AH18" s="333"/>
      <c r="AI18" s="251"/>
      <c r="AJ18" s="303"/>
      <c r="AK18" s="251"/>
      <c r="AL18" s="303"/>
      <c r="AM18" s="28"/>
      <c r="AN18" s="31"/>
      <c r="AO18" s="32"/>
      <c r="AP18" s="27"/>
      <c r="AQ18" s="28"/>
      <c r="AR18" s="27"/>
      <c r="AS18" s="28"/>
      <c r="AT18" s="27"/>
      <c r="AU18" s="28"/>
      <c r="AV18" s="26"/>
      <c r="AW18" s="28"/>
      <c r="AX18" s="33"/>
      <c r="AY18" s="24"/>
      <c r="AZ18" s="34">
        <f>Tableau13[[#This Row],[Bailleurs]]-SUM(Tableau13[[#This Row],[LOGIREP]:[France Habitation]])</f>
        <v>0</v>
      </c>
      <c r="BA18" s="34">
        <f>Tableau13[[#This Row],[Base de financement]]-Tableau13[[#This Row],[Subvention ANRU]]-Tableau13[[#This Row],[Ville]]-Tableau13[[#This Row],[Plaine Commune]]-Tableau13[[#This Row],[Bailleurs]]-Tableau13[[#This Row],[CDC]]-Tableau13[[#This Row],[Autres]]</f>
        <v>0</v>
      </c>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5"/>
      <c r="EH18" s="35"/>
      <c r="EI18" s="35"/>
      <c r="EJ18" s="35"/>
      <c r="EK18" s="35"/>
      <c r="EL18" s="35"/>
      <c r="EM18" s="35"/>
      <c r="EN18" s="35"/>
      <c r="EO18" s="35"/>
      <c r="EP18" s="35"/>
      <c r="EQ18" s="35"/>
      <c r="ER18" s="35"/>
      <c r="ES18" s="35"/>
      <c r="ET18" s="35"/>
    </row>
    <row r="19" spans="1:150" s="36" customFormat="1" ht="60" customHeight="1" x14ac:dyDescent="0.25">
      <c r="A19" s="21" t="s">
        <v>550</v>
      </c>
      <c r="B19" s="74" t="s">
        <v>1068</v>
      </c>
      <c r="C19" s="23" t="s">
        <v>1082</v>
      </c>
      <c r="D19" s="295" t="s">
        <v>1069</v>
      </c>
      <c r="E19" s="478"/>
      <c r="F19" s="478"/>
      <c r="G19" s="478"/>
      <c r="H19" s="24" t="s">
        <v>210</v>
      </c>
      <c r="I19" s="24" t="s">
        <v>799</v>
      </c>
      <c r="J19" s="24" t="s">
        <v>1073</v>
      </c>
      <c r="K19" s="25">
        <v>10000</v>
      </c>
      <c r="L19" s="26"/>
      <c r="M19" s="25">
        <v>12000</v>
      </c>
      <c r="N19" s="27">
        <v>10000</v>
      </c>
      <c r="O19" s="27">
        <v>5000</v>
      </c>
      <c r="P19" s="26"/>
      <c r="Q19" s="29"/>
      <c r="R19" s="27"/>
      <c r="S19" s="24"/>
      <c r="T19" s="258">
        <v>5000</v>
      </c>
      <c r="U19" s="28"/>
      <c r="V19" s="27"/>
      <c r="W19" s="303"/>
      <c r="X19" s="287"/>
      <c r="Y19" s="287"/>
      <c r="Z19" s="303"/>
      <c r="AA19" s="303">
        <f>Tableau13[[#This Row],[Bailleurs]]*12.5%</f>
        <v>0</v>
      </c>
      <c r="AB19" s="319"/>
      <c r="AC19" s="319"/>
      <c r="AD19" s="333"/>
      <c r="AE19" s="333"/>
      <c r="AF19" s="333"/>
      <c r="AG19" s="333"/>
      <c r="AH19" s="333"/>
      <c r="AI19" s="251"/>
      <c r="AJ19" s="303"/>
      <c r="AK19" s="251"/>
      <c r="AL19" s="303"/>
      <c r="AM19" s="28"/>
      <c r="AN19" s="31"/>
      <c r="AO19" s="32"/>
      <c r="AP19" s="27"/>
      <c r="AQ19" s="28"/>
      <c r="AR19" s="27"/>
      <c r="AS19" s="28"/>
      <c r="AT19" s="27"/>
      <c r="AU19" s="28"/>
      <c r="AV19" s="26"/>
      <c r="AW19" s="28"/>
      <c r="AX19" s="33"/>
      <c r="AY19" s="24"/>
      <c r="AZ19" s="34">
        <f>Tableau13[[#This Row],[Bailleurs]]-SUM(Tableau13[[#This Row],[LOGIREP]:[France Habitation]])</f>
        <v>0</v>
      </c>
      <c r="BA19" s="34">
        <f>Tableau13[[#This Row],[Base de financement]]-Tableau13[[#This Row],[Subvention ANRU]]-Tableau13[[#This Row],[Ville]]-Tableau13[[#This Row],[Plaine Commune]]-Tableau13[[#This Row],[Bailleurs]]-Tableau13[[#This Row],[CDC]]-Tableau13[[#This Row],[Autres]]</f>
        <v>0</v>
      </c>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5"/>
      <c r="EH19" s="35"/>
      <c r="EI19" s="35"/>
      <c r="EJ19" s="35"/>
      <c r="EK19" s="35"/>
      <c r="EL19" s="35"/>
      <c r="EM19" s="35"/>
      <c r="EN19" s="35"/>
      <c r="EO19" s="35"/>
      <c r="EP19" s="35"/>
      <c r="EQ19" s="35"/>
      <c r="ER19" s="35"/>
      <c r="ES19" s="35"/>
      <c r="ET19" s="35"/>
    </row>
    <row r="20" spans="1:150" s="36" customFormat="1" ht="60" customHeight="1" x14ac:dyDescent="0.25">
      <c r="A20" s="21" t="s">
        <v>238</v>
      </c>
      <c r="B20" s="74" t="s">
        <v>1068</v>
      </c>
      <c r="C20" s="23" t="s">
        <v>1083</v>
      </c>
      <c r="D20" s="295" t="s">
        <v>1069</v>
      </c>
      <c r="E20" s="478"/>
      <c r="F20" s="478"/>
      <c r="G20" s="478"/>
      <c r="H20" s="24" t="s">
        <v>210</v>
      </c>
      <c r="I20" s="24" t="s">
        <v>799</v>
      </c>
      <c r="J20" s="24" t="s">
        <v>1073</v>
      </c>
      <c r="K20" s="25">
        <v>10000</v>
      </c>
      <c r="L20" s="26"/>
      <c r="M20" s="25">
        <v>12000</v>
      </c>
      <c r="N20" s="27">
        <v>10000</v>
      </c>
      <c r="O20" s="27">
        <v>5000</v>
      </c>
      <c r="P20" s="26"/>
      <c r="Q20" s="29"/>
      <c r="R20" s="27"/>
      <c r="S20" s="24"/>
      <c r="T20" s="258">
        <v>5000</v>
      </c>
      <c r="U20" s="28"/>
      <c r="V20" s="27"/>
      <c r="W20" s="303"/>
      <c r="X20" s="287"/>
      <c r="Y20" s="287"/>
      <c r="Z20" s="303"/>
      <c r="AA20" s="303">
        <f>Tableau13[[#This Row],[Bailleurs]]*12.5%</f>
        <v>0</v>
      </c>
      <c r="AB20" s="319"/>
      <c r="AC20" s="319"/>
      <c r="AD20" s="333"/>
      <c r="AE20" s="333"/>
      <c r="AF20" s="333"/>
      <c r="AG20" s="333"/>
      <c r="AH20" s="333"/>
      <c r="AI20" s="251"/>
      <c r="AJ20" s="303"/>
      <c r="AK20" s="251"/>
      <c r="AL20" s="303"/>
      <c r="AM20" s="28"/>
      <c r="AN20" s="31"/>
      <c r="AO20" s="32"/>
      <c r="AP20" s="27"/>
      <c r="AQ20" s="28"/>
      <c r="AR20" s="27"/>
      <c r="AS20" s="28"/>
      <c r="AT20" s="27"/>
      <c r="AU20" s="28"/>
      <c r="AV20" s="26"/>
      <c r="AW20" s="28"/>
      <c r="AX20" s="33"/>
      <c r="AY20" s="24"/>
      <c r="AZ20" s="34">
        <f>Tableau13[[#This Row],[Bailleurs]]-SUM(Tableau13[[#This Row],[LOGIREP]:[France Habitation]])</f>
        <v>0</v>
      </c>
      <c r="BA20" s="34">
        <f>Tableau13[[#This Row],[Base de financement]]-Tableau13[[#This Row],[Subvention ANRU]]-Tableau13[[#This Row],[Ville]]-Tableau13[[#This Row],[Plaine Commune]]-Tableau13[[#This Row],[Bailleurs]]-Tableau13[[#This Row],[CDC]]-Tableau13[[#This Row],[Autres]]</f>
        <v>0</v>
      </c>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5"/>
      <c r="EH20" s="35"/>
      <c r="EI20" s="35"/>
      <c r="EJ20" s="35"/>
      <c r="EK20" s="35"/>
      <c r="EL20" s="35"/>
      <c r="EM20" s="35"/>
      <c r="EN20" s="35"/>
      <c r="EO20" s="35"/>
      <c r="EP20" s="35"/>
      <c r="EQ20" s="35"/>
      <c r="ER20" s="35"/>
      <c r="ES20" s="35"/>
      <c r="ET20" s="35"/>
    </row>
    <row r="21" spans="1:150" s="36" customFormat="1" ht="60" customHeight="1" x14ac:dyDescent="0.25">
      <c r="A21" s="21" t="s">
        <v>807</v>
      </c>
      <c r="B21" s="74" t="s">
        <v>1068</v>
      </c>
      <c r="C21" s="23" t="s">
        <v>1085</v>
      </c>
      <c r="D21" s="295" t="s">
        <v>1069</v>
      </c>
      <c r="E21" s="478"/>
      <c r="F21" s="478"/>
      <c r="G21" s="478"/>
      <c r="H21" s="24" t="s">
        <v>210</v>
      </c>
      <c r="I21" s="24" t="s">
        <v>799</v>
      </c>
      <c r="J21" s="24" t="s">
        <v>1073</v>
      </c>
      <c r="K21" s="25">
        <v>10000</v>
      </c>
      <c r="L21" s="26"/>
      <c r="M21" s="25">
        <v>12000</v>
      </c>
      <c r="N21" s="27">
        <v>10000</v>
      </c>
      <c r="O21" s="27">
        <v>5000</v>
      </c>
      <c r="P21" s="26"/>
      <c r="Q21" s="29"/>
      <c r="R21" s="27"/>
      <c r="S21" s="24"/>
      <c r="T21" s="258">
        <v>5000</v>
      </c>
      <c r="U21" s="28"/>
      <c r="V21" s="27"/>
      <c r="W21" s="303"/>
      <c r="X21" s="287"/>
      <c r="Y21" s="287"/>
      <c r="Z21" s="303"/>
      <c r="AA21" s="303">
        <f>Tableau13[[#This Row],[Bailleurs]]*12.5%</f>
        <v>0</v>
      </c>
      <c r="AB21" s="319"/>
      <c r="AC21" s="319"/>
      <c r="AD21" s="333"/>
      <c r="AE21" s="333"/>
      <c r="AF21" s="333"/>
      <c r="AG21" s="333"/>
      <c r="AH21" s="333"/>
      <c r="AI21" s="251"/>
      <c r="AJ21" s="303"/>
      <c r="AK21" s="251"/>
      <c r="AL21" s="303"/>
      <c r="AM21" s="28"/>
      <c r="AN21" s="31"/>
      <c r="AO21" s="32"/>
      <c r="AP21" s="27"/>
      <c r="AQ21" s="28"/>
      <c r="AR21" s="27"/>
      <c r="AS21" s="28"/>
      <c r="AT21" s="27"/>
      <c r="AU21" s="28"/>
      <c r="AV21" s="26"/>
      <c r="AW21" s="28"/>
      <c r="AX21" s="33"/>
      <c r="AY21" s="24"/>
      <c r="AZ21" s="34">
        <f>Tableau13[[#This Row],[Bailleurs]]-SUM(Tableau13[[#This Row],[LOGIREP]:[France Habitation]])</f>
        <v>0</v>
      </c>
      <c r="BA21" s="34">
        <f>Tableau13[[#This Row],[Base de financement]]-Tableau13[[#This Row],[Subvention ANRU]]-Tableau13[[#This Row],[Ville]]-Tableau13[[#This Row],[Plaine Commune]]-Tableau13[[#This Row],[Bailleurs]]-Tableau13[[#This Row],[CDC]]-Tableau13[[#This Row],[Autres]]</f>
        <v>0</v>
      </c>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5"/>
      <c r="EH21" s="35"/>
      <c r="EI21" s="35"/>
      <c r="EJ21" s="35"/>
      <c r="EK21" s="35"/>
      <c r="EL21" s="35"/>
      <c r="EM21" s="35"/>
      <c r="EN21" s="35"/>
      <c r="EO21" s="35"/>
      <c r="EP21" s="35"/>
      <c r="EQ21" s="35"/>
      <c r="ER21" s="35"/>
      <c r="ES21" s="35"/>
      <c r="ET21" s="35"/>
    </row>
    <row r="22" spans="1:150" s="36" customFormat="1" ht="60" customHeight="1" x14ac:dyDescent="0.25">
      <c r="A22" s="21" t="s">
        <v>655</v>
      </c>
      <c r="B22" s="74" t="s">
        <v>1068</v>
      </c>
      <c r="C22" s="23" t="s">
        <v>1086</v>
      </c>
      <c r="D22" s="295" t="s">
        <v>1069</v>
      </c>
      <c r="E22" s="478"/>
      <c r="F22" s="478"/>
      <c r="G22" s="478"/>
      <c r="H22" s="24" t="s">
        <v>210</v>
      </c>
      <c r="I22" s="24" t="s">
        <v>799</v>
      </c>
      <c r="J22" s="24" t="s">
        <v>1073</v>
      </c>
      <c r="K22" s="25">
        <v>10000</v>
      </c>
      <c r="L22" s="26"/>
      <c r="M22" s="25">
        <v>12000</v>
      </c>
      <c r="N22" s="27">
        <v>10000</v>
      </c>
      <c r="O22" s="27">
        <v>5000</v>
      </c>
      <c r="P22" s="26"/>
      <c r="Q22" s="60"/>
      <c r="R22" s="27"/>
      <c r="S22" s="24"/>
      <c r="T22" s="258">
        <v>5000</v>
      </c>
      <c r="U22" s="28"/>
      <c r="V22" s="27"/>
      <c r="W22" s="303"/>
      <c r="X22" s="287"/>
      <c r="Y22" s="287"/>
      <c r="Z22" s="303"/>
      <c r="AA22" s="303">
        <f>Tableau13[[#This Row],[Bailleurs]]*12.5%</f>
        <v>0</v>
      </c>
      <c r="AB22" s="319"/>
      <c r="AC22" s="319"/>
      <c r="AD22" s="333"/>
      <c r="AE22" s="333"/>
      <c r="AF22" s="333"/>
      <c r="AG22" s="333"/>
      <c r="AH22" s="333"/>
      <c r="AI22" s="251"/>
      <c r="AJ22" s="303"/>
      <c r="AK22" s="251"/>
      <c r="AL22" s="303"/>
      <c r="AM22" s="28"/>
      <c r="AN22" s="31"/>
      <c r="AO22" s="32"/>
      <c r="AP22" s="27"/>
      <c r="AQ22" s="28"/>
      <c r="AR22" s="27"/>
      <c r="AS22" s="28"/>
      <c r="AT22" s="27"/>
      <c r="AU22" s="28"/>
      <c r="AV22" s="26"/>
      <c r="AW22" s="28"/>
      <c r="AX22" s="33"/>
      <c r="AY22" s="24"/>
      <c r="AZ22" s="34">
        <f>Tableau13[[#This Row],[Bailleurs]]-SUM(Tableau13[[#This Row],[LOGIREP]:[France Habitation]])</f>
        <v>0</v>
      </c>
      <c r="BA22" s="34">
        <f>Tableau13[[#This Row],[Base de financement]]-Tableau13[[#This Row],[Subvention ANRU]]-Tableau13[[#This Row],[Ville]]-Tableau13[[#This Row],[Plaine Commune]]-Tableau13[[#This Row],[Bailleurs]]-Tableau13[[#This Row],[CDC]]-Tableau13[[#This Row],[Autres]]</f>
        <v>0</v>
      </c>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5"/>
      <c r="EH22" s="35"/>
      <c r="EI22" s="35"/>
      <c r="EJ22" s="35"/>
      <c r="EK22" s="35"/>
      <c r="EL22" s="35"/>
      <c r="EM22" s="35"/>
      <c r="EN22" s="35"/>
      <c r="EO22" s="35"/>
      <c r="EP22" s="35"/>
      <c r="EQ22" s="35"/>
      <c r="ER22" s="35"/>
      <c r="ES22" s="35"/>
      <c r="ET22" s="35"/>
    </row>
    <row r="23" spans="1:150" s="36" customFormat="1" ht="60" customHeight="1" x14ac:dyDescent="0.25">
      <c r="A23" s="21" t="s">
        <v>418</v>
      </c>
      <c r="B23" s="74" t="s">
        <v>1068</v>
      </c>
      <c r="C23" s="23" t="s">
        <v>1087</v>
      </c>
      <c r="D23" s="295" t="s">
        <v>1069</v>
      </c>
      <c r="E23" s="478"/>
      <c r="F23" s="478"/>
      <c r="G23" s="478"/>
      <c r="H23" s="24" t="s">
        <v>210</v>
      </c>
      <c r="I23" s="24" t="s">
        <v>799</v>
      </c>
      <c r="J23" s="24" t="s">
        <v>1073</v>
      </c>
      <c r="K23" s="25">
        <v>10000</v>
      </c>
      <c r="L23" s="26"/>
      <c r="M23" s="25">
        <v>12000</v>
      </c>
      <c r="N23" s="27">
        <v>10000</v>
      </c>
      <c r="O23" s="27">
        <v>5000</v>
      </c>
      <c r="P23" s="26"/>
      <c r="Q23" s="29"/>
      <c r="R23" s="27"/>
      <c r="S23" s="24"/>
      <c r="T23" s="258">
        <v>5000</v>
      </c>
      <c r="U23" s="28"/>
      <c r="V23" s="27"/>
      <c r="W23" s="303"/>
      <c r="X23" s="287"/>
      <c r="Y23" s="287"/>
      <c r="Z23" s="303"/>
      <c r="AA23" s="303">
        <f>Tableau13[[#This Row],[Bailleurs]]*12.5%</f>
        <v>0</v>
      </c>
      <c r="AB23" s="319"/>
      <c r="AC23" s="319"/>
      <c r="AD23" s="333"/>
      <c r="AE23" s="333"/>
      <c r="AF23" s="333"/>
      <c r="AG23" s="333"/>
      <c r="AH23" s="333"/>
      <c r="AI23" s="251"/>
      <c r="AJ23" s="303"/>
      <c r="AK23" s="251"/>
      <c r="AL23" s="303"/>
      <c r="AM23" s="28"/>
      <c r="AN23" s="31"/>
      <c r="AO23" s="32"/>
      <c r="AP23" s="27"/>
      <c r="AQ23" s="28"/>
      <c r="AR23" s="27"/>
      <c r="AS23" s="28"/>
      <c r="AT23" s="27"/>
      <c r="AU23" s="28"/>
      <c r="AV23" s="26"/>
      <c r="AW23" s="28"/>
      <c r="AX23" s="33"/>
      <c r="AY23" s="24"/>
      <c r="AZ23" s="34">
        <f>Tableau13[[#This Row],[Bailleurs]]-SUM(Tableau13[[#This Row],[LOGIREP]:[France Habitation]])</f>
        <v>0</v>
      </c>
      <c r="BA23" s="34">
        <f>Tableau13[[#This Row],[Base de financement]]-Tableau13[[#This Row],[Subvention ANRU]]-Tableau13[[#This Row],[Ville]]-Tableau13[[#This Row],[Plaine Commune]]-Tableau13[[#This Row],[Bailleurs]]-Tableau13[[#This Row],[CDC]]-Tableau13[[#This Row],[Autres]]</f>
        <v>0</v>
      </c>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5"/>
      <c r="EH23" s="35"/>
      <c r="EI23" s="35"/>
      <c r="EJ23" s="35"/>
      <c r="EK23" s="35"/>
      <c r="EL23" s="35"/>
      <c r="EM23" s="35"/>
      <c r="EN23" s="35"/>
      <c r="EO23" s="35"/>
      <c r="EP23" s="35"/>
      <c r="EQ23" s="35"/>
      <c r="ER23" s="35"/>
      <c r="ES23" s="35"/>
      <c r="ET23" s="35"/>
    </row>
    <row r="24" spans="1:150" s="230" customFormat="1" ht="60" customHeight="1" x14ac:dyDescent="0.25">
      <c r="A24" s="232" t="s">
        <v>418</v>
      </c>
      <c r="B24" s="352" t="s">
        <v>1068</v>
      </c>
      <c r="C24" s="383" t="s">
        <v>1088</v>
      </c>
      <c r="D24" s="229" t="s">
        <v>1069</v>
      </c>
      <c r="E24" s="479"/>
      <c r="F24" s="479"/>
      <c r="G24" s="479"/>
      <c r="H24" s="386" t="s">
        <v>210</v>
      </c>
      <c r="I24" s="233" t="s">
        <v>799</v>
      </c>
      <c r="J24" s="233" t="s">
        <v>1073</v>
      </c>
      <c r="K24" s="388">
        <v>10000</v>
      </c>
      <c r="L24" s="389"/>
      <c r="M24" s="388">
        <v>12000</v>
      </c>
      <c r="N24" s="394">
        <v>10000</v>
      </c>
      <c r="O24" s="394">
        <v>5000</v>
      </c>
      <c r="P24" s="389"/>
      <c r="Q24" s="365"/>
      <c r="R24" s="394"/>
      <c r="S24" s="233"/>
      <c r="T24" s="258">
        <v>5000</v>
      </c>
      <c r="U24" s="397"/>
      <c r="V24" s="394"/>
      <c r="W24" s="231"/>
      <c r="X24" s="287"/>
      <c r="Y24" s="287"/>
      <c r="Z24" s="231"/>
      <c r="AA24" s="231">
        <f>Tableau13[[#This Row],[Bailleurs]]*12.5%</f>
        <v>0</v>
      </c>
      <c r="AB24" s="319"/>
      <c r="AC24" s="319"/>
      <c r="AD24" s="333"/>
      <c r="AE24" s="333"/>
      <c r="AF24" s="333"/>
      <c r="AG24" s="333"/>
      <c r="AH24" s="333"/>
      <c r="AI24" s="251"/>
      <c r="AJ24" s="231"/>
      <c r="AK24" s="251"/>
      <c r="AL24" s="231"/>
      <c r="AM24" s="397"/>
      <c r="AN24" s="234"/>
      <c r="AO24" s="235"/>
      <c r="AP24" s="394"/>
      <c r="AQ24" s="397"/>
      <c r="AR24" s="394"/>
      <c r="AS24" s="397"/>
      <c r="AT24" s="394"/>
      <c r="AU24" s="397"/>
      <c r="AV24" s="389"/>
      <c r="AW24" s="397"/>
      <c r="AX24" s="400"/>
      <c r="AY24" s="233"/>
      <c r="AZ24" s="34">
        <f>Tableau13[[#This Row],[Bailleurs]]-SUM(Tableau13[[#This Row],[LOGIREP]:[France Habitation]])</f>
        <v>0</v>
      </c>
      <c r="BA24" s="34">
        <f>Tableau13[[#This Row],[Base de financement]]-Tableau13[[#This Row],[Subvention ANRU]]-Tableau13[[#This Row],[Ville]]-Tableau13[[#This Row],[Plaine Commune]]-Tableau13[[#This Row],[Bailleurs]]-Tableau13[[#This Row],[CDC]]-Tableau13[[#This Row],[Autres]]</f>
        <v>0</v>
      </c>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5"/>
      <c r="EH24" s="35"/>
      <c r="EI24" s="35"/>
      <c r="EJ24" s="35"/>
      <c r="EK24" s="35"/>
      <c r="EL24" s="35"/>
      <c r="EM24" s="35"/>
      <c r="EN24" s="35"/>
      <c r="EO24" s="35"/>
      <c r="EP24" s="35"/>
      <c r="EQ24" s="35"/>
      <c r="ER24" s="35"/>
      <c r="ES24" s="35"/>
      <c r="ET24" s="35"/>
    </row>
    <row r="25" spans="1:150" s="230" customFormat="1" ht="60" customHeight="1" x14ac:dyDescent="0.25">
      <c r="A25" s="21" t="s">
        <v>418</v>
      </c>
      <c r="B25" s="380" t="s">
        <v>1068</v>
      </c>
      <c r="C25" s="23" t="s">
        <v>1089</v>
      </c>
      <c r="D25" s="229" t="s">
        <v>1069</v>
      </c>
      <c r="E25" s="194"/>
      <c r="F25" s="194"/>
      <c r="G25" s="194"/>
      <c r="H25" s="24" t="s">
        <v>210</v>
      </c>
      <c r="I25" s="233" t="s">
        <v>799</v>
      </c>
      <c r="J25" s="24" t="s">
        <v>1073</v>
      </c>
      <c r="K25" s="25">
        <v>10000</v>
      </c>
      <c r="L25" s="26"/>
      <c r="M25" s="390">
        <v>12000</v>
      </c>
      <c r="N25" s="393">
        <v>10000</v>
      </c>
      <c r="O25" s="393">
        <v>5000</v>
      </c>
      <c r="P25" s="26"/>
      <c r="Q25" s="29"/>
      <c r="R25" s="27"/>
      <c r="S25" s="24"/>
      <c r="T25" s="258">
        <v>5000</v>
      </c>
      <c r="U25" s="28"/>
      <c r="V25" s="27"/>
      <c r="W25" s="231"/>
      <c r="X25" s="287"/>
      <c r="Y25" s="287"/>
      <c r="Z25" s="231"/>
      <c r="AA25" s="231">
        <f>Tableau13[[#This Row],[Bailleurs]]*12.5%</f>
        <v>0</v>
      </c>
      <c r="AB25" s="319"/>
      <c r="AC25" s="319"/>
      <c r="AD25" s="333"/>
      <c r="AE25" s="333"/>
      <c r="AF25" s="333"/>
      <c r="AG25" s="333"/>
      <c r="AH25" s="333"/>
      <c r="AI25" s="251"/>
      <c r="AJ25" s="231"/>
      <c r="AK25" s="251"/>
      <c r="AL25" s="231"/>
      <c r="AM25" s="28"/>
      <c r="AN25" s="31"/>
      <c r="AO25" s="32"/>
      <c r="AP25" s="27"/>
      <c r="AQ25" s="28"/>
      <c r="AR25" s="27"/>
      <c r="AS25" s="28"/>
      <c r="AT25" s="27"/>
      <c r="AU25" s="28"/>
      <c r="AV25" s="26"/>
      <c r="AW25" s="28"/>
      <c r="AX25" s="33"/>
      <c r="AY25" s="24"/>
      <c r="AZ25" s="34">
        <f>Tableau13[[#This Row],[Bailleurs]]-SUM(Tableau13[[#This Row],[LOGIREP]:[France Habitation]])</f>
        <v>0</v>
      </c>
      <c r="BA25" s="34">
        <f>Tableau13[[#This Row],[Base de financement]]-Tableau13[[#This Row],[Subvention ANRU]]-Tableau13[[#This Row],[Ville]]-Tableau13[[#This Row],[Plaine Commune]]-Tableau13[[#This Row],[Bailleurs]]-Tableau13[[#This Row],[CDC]]-Tableau13[[#This Row],[Autres]]</f>
        <v>0</v>
      </c>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5"/>
      <c r="EH25" s="35"/>
      <c r="EI25" s="35"/>
      <c r="EJ25" s="35"/>
      <c r="EK25" s="35"/>
      <c r="EL25" s="35"/>
      <c r="EM25" s="35"/>
      <c r="EN25" s="35"/>
      <c r="EO25" s="35"/>
      <c r="EP25" s="35"/>
      <c r="EQ25" s="35"/>
      <c r="ER25" s="35"/>
      <c r="ES25" s="35"/>
      <c r="ET25" s="35"/>
    </row>
    <row r="26" spans="1:150" s="242" customFormat="1" ht="60" customHeight="1" x14ac:dyDescent="0.25">
      <c r="A26" s="236" t="s">
        <v>238</v>
      </c>
      <c r="B26" s="381" t="s">
        <v>1068</v>
      </c>
      <c r="C26" s="357" t="s">
        <v>1084</v>
      </c>
      <c r="D26" s="229" t="s">
        <v>1069</v>
      </c>
      <c r="E26" s="194"/>
      <c r="F26" s="194"/>
      <c r="G26" s="194"/>
      <c r="H26" s="238" t="s">
        <v>210</v>
      </c>
      <c r="I26" s="238" t="s">
        <v>799</v>
      </c>
      <c r="J26" s="238" t="s">
        <v>1073</v>
      </c>
      <c r="K26" s="245">
        <v>10000</v>
      </c>
      <c r="L26" s="244"/>
      <c r="M26" s="390">
        <v>12000</v>
      </c>
      <c r="N26" s="393">
        <v>10000</v>
      </c>
      <c r="O26" s="393">
        <v>5000</v>
      </c>
      <c r="P26" s="244"/>
      <c r="Q26" s="248"/>
      <c r="R26" s="246"/>
      <c r="S26" s="238"/>
      <c r="T26" s="258">
        <v>5000</v>
      </c>
      <c r="U26" s="247"/>
      <c r="V26" s="246"/>
      <c r="W26" s="240"/>
      <c r="X26" s="287"/>
      <c r="Y26" s="287"/>
      <c r="Z26" s="240"/>
      <c r="AA26" s="240">
        <f>Tableau13[[#This Row],[Bailleurs]]*12.5%</f>
        <v>0</v>
      </c>
      <c r="AB26" s="319"/>
      <c r="AC26" s="319"/>
      <c r="AD26" s="333"/>
      <c r="AE26" s="333"/>
      <c r="AF26" s="333"/>
      <c r="AG26" s="333"/>
      <c r="AH26" s="333"/>
      <c r="AI26" s="251"/>
      <c r="AJ26" s="240"/>
      <c r="AK26" s="251"/>
      <c r="AL26" s="240"/>
      <c r="AM26" s="247"/>
      <c r="AN26" s="239"/>
      <c r="AO26" s="241"/>
      <c r="AP26" s="246"/>
      <c r="AQ26" s="247"/>
      <c r="AR26" s="246"/>
      <c r="AS26" s="247"/>
      <c r="AT26" s="246"/>
      <c r="AU26" s="247"/>
      <c r="AV26" s="244"/>
      <c r="AW26" s="247"/>
      <c r="AX26" s="250"/>
      <c r="AY26" s="238"/>
      <c r="AZ26" s="34">
        <f>Tableau13[[#This Row],[Bailleurs]]-SUM(Tableau13[[#This Row],[LOGIREP]:[France Habitation]])</f>
        <v>0</v>
      </c>
      <c r="BA26" s="34">
        <f>Tableau13[[#This Row],[Base de financement]]-Tableau13[[#This Row],[Subvention ANRU]]-Tableau13[[#This Row],[Ville]]-Tableau13[[#This Row],[Plaine Commune]]-Tableau13[[#This Row],[Bailleurs]]-Tableau13[[#This Row],[CDC]]-Tableau13[[#This Row],[Autres]]</f>
        <v>0</v>
      </c>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5"/>
      <c r="EH26" s="35"/>
      <c r="EI26" s="35"/>
      <c r="EJ26" s="35"/>
      <c r="EK26" s="35"/>
      <c r="EL26" s="35"/>
      <c r="EM26" s="35"/>
      <c r="EN26" s="35"/>
      <c r="EO26" s="35"/>
      <c r="EP26" s="35"/>
      <c r="EQ26" s="35"/>
      <c r="ER26" s="35"/>
      <c r="ES26" s="35"/>
      <c r="ET26" s="35"/>
    </row>
    <row r="27" spans="1:150" s="36" customFormat="1" ht="60" customHeight="1" x14ac:dyDescent="0.25">
      <c r="A27" s="21" t="s">
        <v>33</v>
      </c>
      <c r="B27" s="74" t="s">
        <v>1068</v>
      </c>
      <c r="C27" s="23" t="s">
        <v>1075</v>
      </c>
      <c r="D27" s="295" t="s">
        <v>1069</v>
      </c>
      <c r="E27" s="478"/>
      <c r="F27" s="478">
        <v>100</v>
      </c>
      <c r="G27" s="478"/>
      <c r="H27" s="24" t="s">
        <v>210</v>
      </c>
      <c r="I27" s="24" t="s">
        <v>799</v>
      </c>
      <c r="J27" s="24" t="s">
        <v>1073</v>
      </c>
      <c r="K27" s="25">
        <v>10000</v>
      </c>
      <c r="L27" s="26"/>
      <c r="M27" s="25">
        <v>12000</v>
      </c>
      <c r="N27" s="27">
        <v>10000</v>
      </c>
      <c r="O27" s="27">
        <v>5000</v>
      </c>
      <c r="P27" s="26"/>
      <c r="Q27" s="29"/>
      <c r="R27" s="27"/>
      <c r="S27" s="24"/>
      <c r="T27" s="258">
        <v>5000</v>
      </c>
      <c r="U27" s="28"/>
      <c r="V27" s="27"/>
      <c r="W27" s="54"/>
      <c r="X27" s="289"/>
      <c r="Y27" s="289"/>
      <c r="Z27" s="54"/>
      <c r="AA27" s="54">
        <f>Tableau13[[#This Row],[Bailleurs]]*12.5%</f>
        <v>0</v>
      </c>
      <c r="AB27" s="320"/>
      <c r="AC27" s="320"/>
      <c r="AD27" s="334"/>
      <c r="AE27" s="334"/>
      <c r="AF27" s="334"/>
      <c r="AG27" s="334"/>
      <c r="AH27" s="334"/>
      <c r="AI27" s="273"/>
      <c r="AJ27" s="54"/>
      <c r="AK27" s="273"/>
      <c r="AL27" s="54"/>
      <c r="AM27" s="28"/>
      <c r="AN27" s="31"/>
      <c r="AO27" s="32"/>
      <c r="AP27" s="27"/>
      <c r="AQ27" s="28"/>
      <c r="AR27" s="27"/>
      <c r="AS27" s="28"/>
      <c r="AT27" s="27"/>
      <c r="AU27" s="28"/>
      <c r="AV27" s="26"/>
      <c r="AW27" s="28"/>
      <c r="AX27" s="33"/>
      <c r="AY27" s="24"/>
      <c r="AZ27" s="34">
        <f>Tableau13[[#This Row],[Bailleurs]]-SUM(Tableau13[[#This Row],[LOGIREP]:[France Habitation]])</f>
        <v>0</v>
      </c>
      <c r="BA27" s="34">
        <f>Tableau13[[#This Row],[Base de financement]]-Tableau13[[#This Row],[Subvention ANRU]]-Tableau13[[#This Row],[Ville]]-Tableau13[[#This Row],[Plaine Commune]]-Tableau13[[#This Row],[Bailleurs]]-Tableau13[[#This Row],[CDC]]-Tableau13[[#This Row],[Autres]]</f>
        <v>0</v>
      </c>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5"/>
      <c r="EH27" s="35"/>
      <c r="EI27" s="35"/>
      <c r="EJ27" s="35"/>
      <c r="EK27" s="35"/>
      <c r="EL27" s="35"/>
      <c r="EM27" s="35"/>
      <c r="EN27" s="35"/>
      <c r="EO27" s="35"/>
      <c r="EP27" s="35"/>
      <c r="EQ27" s="35"/>
      <c r="ER27" s="35"/>
      <c r="ES27" s="35"/>
      <c r="ET27" s="35"/>
    </row>
    <row r="28" spans="1:150" s="36" customFormat="1" ht="60" customHeight="1" x14ac:dyDescent="0.25">
      <c r="A28" s="65" t="s">
        <v>585</v>
      </c>
      <c r="B28" s="66" t="s">
        <v>819</v>
      </c>
      <c r="C28" s="58" t="s">
        <v>820</v>
      </c>
      <c r="D28" s="46" t="s">
        <v>821</v>
      </c>
      <c r="E28" s="480"/>
      <c r="F28" s="480"/>
      <c r="G28" s="480"/>
      <c r="H28" s="47" t="s">
        <v>822</v>
      </c>
      <c r="I28" s="24" t="s">
        <v>799</v>
      </c>
      <c r="J28" s="24" t="s">
        <v>823</v>
      </c>
      <c r="K28" s="48">
        <v>70000</v>
      </c>
      <c r="L28" s="41">
        <v>0.2</v>
      </c>
      <c r="M28" s="31">
        <f>K28*(1+L28)</f>
        <v>84000</v>
      </c>
      <c r="N28" s="31">
        <v>70000</v>
      </c>
      <c r="O28" s="31">
        <f>N28*P28</f>
        <v>0</v>
      </c>
      <c r="P28" s="41">
        <v>0</v>
      </c>
      <c r="Q28" s="67" t="s">
        <v>824</v>
      </c>
      <c r="R28" s="31">
        <f>N28*S28</f>
        <v>0</v>
      </c>
      <c r="S28" s="41"/>
      <c r="T28" s="30">
        <f>N28*U28</f>
        <v>35000</v>
      </c>
      <c r="U28" s="41">
        <v>0.5</v>
      </c>
      <c r="V28" s="31">
        <f>N28*AM28</f>
        <v>0</v>
      </c>
      <c r="W28" s="31">
        <f>Tableau13[[#This Row],[Subvention ANRU]]*12.5%</f>
        <v>0</v>
      </c>
      <c r="X28" s="288"/>
      <c r="Y28" s="288"/>
      <c r="Z28" s="31"/>
      <c r="AA28" s="31">
        <f>Tableau13[[#This Row],[Bailleurs]]*12.5%</f>
        <v>0</v>
      </c>
      <c r="AB28" s="322"/>
      <c r="AC28" s="322"/>
      <c r="AD28" s="336"/>
      <c r="AE28" s="336"/>
      <c r="AF28" s="336"/>
      <c r="AG28" s="336"/>
      <c r="AH28" s="336"/>
      <c r="AI28" s="260"/>
      <c r="AJ28" s="31"/>
      <c r="AK28" s="260"/>
      <c r="AL28" s="31"/>
      <c r="AM28" s="41"/>
      <c r="AN28" s="31">
        <f>N28*AO28</f>
        <v>35000</v>
      </c>
      <c r="AO28" s="28">
        <v>0.5</v>
      </c>
      <c r="AP28" s="31">
        <f>N28*AQ28</f>
        <v>0</v>
      </c>
      <c r="AQ28" s="41"/>
      <c r="AR28" s="31">
        <f>N28*AS28</f>
        <v>0</v>
      </c>
      <c r="AS28" s="41"/>
      <c r="AT28" s="31">
        <f>N28*AU28</f>
        <v>0</v>
      </c>
      <c r="AU28" s="41"/>
      <c r="AV28" s="50">
        <f>N28*AW28</f>
        <v>0</v>
      </c>
      <c r="AW28" s="41"/>
      <c r="AX28" s="51">
        <v>42370</v>
      </c>
      <c r="AY28" s="68">
        <v>4</v>
      </c>
      <c r="AZ28" s="34">
        <f>Tableau13[[#This Row],[Bailleurs]]-SUM(Tableau13[[#This Row],[LOGIREP]:[France Habitation]])</f>
        <v>0</v>
      </c>
      <c r="BA28" s="34">
        <f>Tableau13[[#This Row],[Base de financement]]-Tableau13[[#This Row],[Subvention ANRU]]-Tableau13[[#This Row],[Ville]]-Tableau13[[#This Row],[Plaine Commune]]-Tableau13[[#This Row],[Bailleurs]]-Tableau13[[#This Row],[CDC]]-Tableau13[[#This Row],[Autres]]</f>
        <v>0</v>
      </c>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5"/>
      <c r="EH28" s="35"/>
      <c r="EI28" s="35"/>
      <c r="EJ28" s="35"/>
      <c r="EK28" s="35"/>
      <c r="EL28" s="35"/>
      <c r="EM28" s="35"/>
      <c r="EN28" s="35"/>
      <c r="EO28" s="35"/>
      <c r="EP28" s="35"/>
      <c r="EQ28" s="35"/>
      <c r="ER28" s="35"/>
      <c r="ES28" s="35"/>
      <c r="ET28" s="35"/>
    </row>
    <row r="29" spans="1:150" s="36" customFormat="1" ht="60" customHeight="1" x14ac:dyDescent="0.25">
      <c r="A29" s="21" t="s">
        <v>163</v>
      </c>
      <c r="B29" s="22" t="s">
        <v>819</v>
      </c>
      <c r="C29" s="59" t="s">
        <v>825</v>
      </c>
      <c r="D29" s="69" t="s">
        <v>826</v>
      </c>
      <c r="E29" s="481"/>
      <c r="F29" s="481"/>
      <c r="G29" s="481"/>
      <c r="H29" s="29" t="s">
        <v>827</v>
      </c>
      <c r="I29" s="24" t="s">
        <v>799</v>
      </c>
      <c r="J29" s="24" t="s">
        <v>823</v>
      </c>
      <c r="K29" s="52">
        <v>70000</v>
      </c>
      <c r="L29" s="53">
        <v>0.2</v>
      </c>
      <c r="M29" s="70">
        <f>K29*(1+L29)</f>
        <v>84000</v>
      </c>
      <c r="N29" s="52">
        <v>70000</v>
      </c>
      <c r="O29" s="54">
        <f>N29*P29</f>
        <v>0</v>
      </c>
      <c r="P29" s="71">
        <v>0</v>
      </c>
      <c r="Q29" s="67" t="s">
        <v>824</v>
      </c>
      <c r="R29" s="54">
        <f>N29*S29</f>
        <v>0</v>
      </c>
      <c r="S29" s="71"/>
      <c r="T29" s="55">
        <f>N29*U29</f>
        <v>35000</v>
      </c>
      <c r="U29" s="71">
        <v>0.5</v>
      </c>
      <c r="V29" s="54">
        <f>N29*AM29</f>
        <v>0</v>
      </c>
      <c r="W29" s="54">
        <f>Tableau13[[#This Row],[Subvention ANRU]]*12.5%</f>
        <v>0</v>
      </c>
      <c r="X29" s="289"/>
      <c r="Y29" s="289"/>
      <c r="Z29" s="54"/>
      <c r="AA29" s="54">
        <f>Tableau13[[#This Row],[Bailleurs]]*12.5%</f>
        <v>0</v>
      </c>
      <c r="AB29" s="320"/>
      <c r="AC29" s="320"/>
      <c r="AD29" s="334"/>
      <c r="AE29" s="334"/>
      <c r="AF29" s="334"/>
      <c r="AG29" s="334"/>
      <c r="AH29" s="334"/>
      <c r="AI29" s="273"/>
      <c r="AJ29" s="54"/>
      <c r="AK29" s="273"/>
      <c r="AL29" s="54"/>
      <c r="AM29" s="71"/>
      <c r="AN29" s="54">
        <f>N29*AO29</f>
        <v>35000</v>
      </c>
      <c r="AO29" s="28">
        <v>0.5</v>
      </c>
      <c r="AP29" s="54">
        <f>N29*AQ29</f>
        <v>0</v>
      </c>
      <c r="AQ29" s="71"/>
      <c r="AR29" s="54">
        <f>N29*AS29</f>
        <v>0</v>
      </c>
      <c r="AS29" s="71"/>
      <c r="AT29" s="54">
        <f>N29*AU29</f>
        <v>0</v>
      </c>
      <c r="AU29" s="71"/>
      <c r="AV29" s="72">
        <f>N29*AW29</f>
        <v>0</v>
      </c>
      <c r="AW29" s="71"/>
      <c r="AX29" s="73">
        <v>42370</v>
      </c>
      <c r="AY29" s="74">
        <v>10</v>
      </c>
      <c r="AZ29" s="186">
        <f>Tableau13[[#This Row],[Bailleurs]]-SUM(Tableau13[[#This Row],[LOGIREP]:[France Habitation]])</f>
        <v>0</v>
      </c>
      <c r="BA29" s="34">
        <f>Tableau13[[#This Row],[Base de financement]]-Tableau13[[#This Row],[Subvention ANRU]]-Tableau13[[#This Row],[Ville]]-Tableau13[[#This Row],[Plaine Commune]]-Tableau13[[#This Row],[Bailleurs]]-Tableau13[[#This Row],[CDC]]-Tableau13[[#This Row],[Autres]]</f>
        <v>0</v>
      </c>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5"/>
      <c r="EH29" s="35"/>
      <c r="EI29" s="35"/>
      <c r="EJ29" s="35"/>
      <c r="EK29" s="35"/>
      <c r="EL29" s="35"/>
      <c r="EM29" s="35"/>
      <c r="EN29" s="35"/>
      <c r="EO29" s="35"/>
      <c r="EP29" s="35"/>
      <c r="EQ29" s="35"/>
      <c r="ER29" s="35"/>
      <c r="ES29" s="35"/>
      <c r="ET29" s="35"/>
    </row>
    <row r="30" spans="1:150" s="36" customFormat="1" ht="60" customHeight="1" x14ac:dyDescent="0.25">
      <c r="A30" s="21" t="s">
        <v>418</v>
      </c>
      <c r="B30" s="22" t="s">
        <v>828</v>
      </c>
      <c r="C30" s="22" t="s">
        <v>829</v>
      </c>
      <c r="D30" s="36" t="s">
        <v>830</v>
      </c>
      <c r="E30" s="482"/>
      <c r="F30" s="482"/>
      <c r="G30" s="482"/>
      <c r="H30" s="22" t="s">
        <v>210</v>
      </c>
      <c r="I30" s="24" t="s">
        <v>799</v>
      </c>
      <c r="J30" s="36" t="s">
        <v>831</v>
      </c>
      <c r="K30" s="52">
        <v>150000</v>
      </c>
      <c r="L30" s="53">
        <v>0.2</v>
      </c>
      <c r="M30" s="70">
        <v>120000</v>
      </c>
      <c r="N30" s="75">
        <v>150000</v>
      </c>
      <c r="O30" s="75">
        <v>0</v>
      </c>
      <c r="P30" s="76">
        <v>0.5</v>
      </c>
      <c r="Q30" s="36" t="s">
        <v>832</v>
      </c>
      <c r="R30" s="36">
        <v>0</v>
      </c>
      <c r="T30" s="77">
        <v>75000</v>
      </c>
      <c r="U30" s="36">
        <v>20</v>
      </c>
      <c r="V30" s="36">
        <v>0</v>
      </c>
      <c r="W30" s="75">
        <f>Tableau13[[#This Row],[Subvention ANRU]]*12.5%</f>
        <v>0</v>
      </c>
      <c r="X30" s="315"/>
      <c r="Y30" s="315"/>
      <c r="Z30" s="75"/>
      <c r="AA30" s="75">
        <f>Tableau13[[#This Row],[Bailleurs]]*12.5%</f>
        <v>0</v>
      </c>
      <c r="AB30" s="327"/>
      <c r="AC30" s="327"/>
      <c r="AD30" s="341"/>
      <c r="AE30" s="341"/>
      <c r="AF30" s="341"/>
      <c r="AG30" s="341"/>
      <c r="AH30" s="341"/>
      <c r="AI30" s="284"/>
      <c r="AK30" s="262"/>
      <c r="AN30" s="36">
        <v>75000</v>
      </c>
      <c r="AO30" s="78">
        <v>0.5</v>
      </c>
      <c r="AP30" s="36">
        <v>0</v>
      </c>
      <c r="AR30" s="36">
        <v>0</v>
      </c>
      <c r="AT30" s="36">
        <v>0</v>
      </c>
      <c r="AV30" s="77">
        <v>0</v>
      </c>
      <c r="AW30" s="76"/>
      <c r="AX30" s="79">
        <v>42309</v>
      </c>
      <c r="AY30" s="36">
        <v>6</v>
      </c>
      <c r="AZ30" s="34">
        <f>Tableau13[[#This Row],[Bailleurs]]-SUM(Tableau13[[#This Row],[LOGIREP]:[France Habitation]])</f>
        <v>0</v>
      </c>
      <c r="BA30" s="34">
        <f>Tableau13[[#This Row],[Base de financement]]-Tableau13[[#This Row],[Subvention ANRU]]-Tableau13[[#This Row],[Ville]]-Tableau13[[#This Row],[Plaine Commune]]-Tableau13[[#This Row],[Bailleurs]]-Tableau13[[#This Row],[CDC]]-Tableau13[[#This Row],[Autres]]</f>
        <v>0</v>
      </c>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5"/>
      <c r="EH30" s="35"/>
      <c r="EI30" s="35"/>
      <c r="EJ30" s="35"/>
      <c r="EK30" s="35"/>
      <c r="EL30" s="35"/>
      <c r="EM30" s="35"/>
      <c r="EN30" s="35"/>
      <c r="EO30" s="35"/>
      <c r="EP30" s="35"/>
      <c r="EQ30" s="35"/>
      <c r="ER30" s="35"/>
      <c r="ES30" s="35"/>
      <c r="ET30" s="35"/>
    </row>
    <row r="31" spans="1:150" s="36" customFormat="1" ht="60" customHeight="1" x14ac:dyDescent="0.25">
      <c r="A31" s="21" t="s">
        <v>418</v>
      </c>
      <c r="B31" s="22" t="s">
        <v>833</v>
      </c>
      <c r="C31" s="93" t="s">
        <v>844</v>
      </c>
      <c r="D31" s="94" t="s">
        <v>845</v>
      </c>
      <c r="E31" s="483"/>
      <c r="F31" s="483"/>
      <c r="G31" s="483"/>
      <c r="H31" s="66" t="s">
        <v>210</v>
      </c>
      <c r="I31" s="24" t="s">
        <v>799</v>
      </c>
      <c r="J31" s="36" t="s">
        <v>831</v>
      </c>
      <c r="K31" s="267">
        <v>30000</v>
      </c>
      <c r="L31" s="53">
        <v>0.2</v>
      </c>
      <c r="M31" s="70">
        <f>Tableau13[[#This Row],[Coût HT]]*1.2</f>
        <v>36000</v>
      </c>
      <c r="N31" s="424">
        <v>30000</v>
      </c>
      <c r="O31" s="54">
        <v>15000</v>
      </c>
      <c r="P31" s="53">
        <v>0.5</v>
      </c>
      <c r="Q31" s="29" t="s">
        <v>846</v>
      </c>
      <c r="R31" s="54">
        <v>0</v>
      </c>
      <c r="S31" s="53"/>
      <c r="T31" s="55">
        <f>15000/2</f>
        <v>7500</v>
      </c>
      <c r="U31" s="53">
        <v>0.25</v>
      </c>
      <c r="V31" s="40">
        <f>Tableau13[[#This Row],[LOGIREP]]+Tableau13[[#This Row],[PCH]]</f>
        <v>7500</v>
      </c>
      <c r="W31" s="40">
        <f>7500/2</f>
        <v>3750</v>
      </c>
      <c r="X31" s="307"/>
      <c r="Y31" s="307"/>
      <c r="Z31" s="192"/>
      <c r="AA31" s="40">
        <v>3750</v>
      </c>
      <c r="AB31" s="321"/>
      <c r="AC31" s="321"/>
      <c r="AD31" s="335"/>
      <c r="AE31" s="335"/>
      <c r="AF31" s="335"/>
      <c r="AG31" s="335"/>
      <c r="AH31" s="335"/>
      <c r="AI31" s="272"/>
      <c r="AJ31" s="54"/>
      <c r="AK31" s="273"/>
      <c r="AL31" s="54"/>
      <c r="AM31" s="53">
        <v>0.25</v>
      </c>
      <c r="AN31" s="54">
        <v>0</v>
      </c>
      <c r="AO31" s="53"/>
      <c r="AP31" s="54">
        <v>0</v>
      </c>
      <c r="AQ31" s="53"/>
      <c r="AR31" s="54">
        <v>0</v>
      </c>
      <c r="AS31" s="53"/>
      <c r="AT31" s="54">
        <v>0</v>
      </c>
      <c r="AU31" s="53"/>
      <c r="AV31" s="56">
        <v>0</v>
      </c>
      <c r="AW31" s="53"/>
      <c r="AX31" s="57">
        <v>42370</v>
      </c>
      <c r="AY31" s="29">
        <v>6</v>
      </c>
      <c r="AZ31" s="34">
        <f>Tableau13[[#This Row],[Bailleurs]]-SUM(Tableau13[[#This Row],[LOGIREP]:[France Habitation]])</f>
        <v>0</v>
      </c>
      <c r="BA31" s="34">
        <f>Tableau13[[#This Row],[Base de financement]]-Tableau13[[#This Row],[Subvention ANRU]]-Tableau13[[#This Row],[Ville]]-Tableau13[[#This Row],[Plaine Commune]]-Tableau13[[#This Row],[Bailleurs]]-Tableau13[[#This Row],[CDC]]-Tableau13[[#This Row],[Autres]]</f>
        <v>0</v>
      </c>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5"/>
      <c r="EH31" s="35"/>
      <c r="EI31" s="35"/>
      <c r="EJ31" s="35"/>
      <c r="EK31" s="35"/>
      <c r="EL31" s="35"/>
      <c r="EM31" s="35"/>
      <c r="EN31" s="35"/>
      <c r="EO31" s="35"/>
      <c r="EP31" s="35"/>
      <c r="EQ31" s="35"/>
      <c r="ER31" s="35"/>
      <c r="ES31" s="35"/>
      <c r="ET31" s="35"/>
    </row>
    <row r="32" spans="1:150" s="36" customFormat="1" ht="60" customHeight="1" x14ac:dyDescent="0.25">
      <c r="A32" s="21" t="s">
        <v>418</v>
      </c>
      <c r="B32" s="22" t="s">
        <v>833</v>
      </c>
      <c r="C32" s="59" t="s">
        <v>858</v>
      </c>
      <c r="D32" s="108" t="s">
        <v>859</v>
      </c>
      <c r="E32" s="484"/>
      <c r="F32" s="484"/>
      <c r="G32" s="484"/>
      <c r="H32" s="99" t="s">
        <v>860</v>
      </c>
      <c r="I32" s="24" t="s">
        <v>799</v>
      </c>
      <c r="J32" s="36" t="s">
        <v>831</v>
      </c>
      <c r="K32" s="270">
        <v>50000</v>
      </c>
      <c r="L32" s="53">
        <v>0.2</v>
      </c>
      <c r="M32" s="101">
        <f>Tableau13[[#This Row],[Coût HT]]*1.2</f>
        <v>60000</v>
      </c>
      <c r="N32" s="425">
        <v>50000</v>
      </c>
      <c r="O32" s="54">
        <f>N32*P32</f>
        <v>25000</v>
      </c>
      <c r="P32" s="53">
        <v>0.5</v>
      </c>
      <c r="Q32" s="271" t="s">
        <v>1070</v>
      </c>
      <c r="R32" s="101"/>
      <c r="S32" s="100"/>
      <c r="T32" s="55">
        <f>N32*U32</f>
        <v>12500</v>
      </c>
      <c r="U32" s="100">
        <v>0.25</v>
      </c>
      <c r="V32" s="40">
        <f>K32*AM32</f>
        <v>12500</v>
      </c>
      <c r="W32" s="54"/>
      <c r="X32" s="289"/>
      <c r="Y32" s="289"/>
      <c r="Z32" s="54"/>
      <c r="AA32" s="54">
        <v>8750</v>
      </c>
      <c r="AB32" s="320"/>
      <c r="AC32" s="320"/>
      <c r="AD32" s="334"/>
      <c r="AE32" s="334"/>
      <c r="AF32" s="334"/>
      <c r="AG32" s="334"/>
      <c r="AH32" s="334"/>
      <c r="AI32" s="273">
        <v>1375</v>
      </c>
      <c r="AJ32" s="54"/>
      <c r="AK32" s="273">
        <v>2375</v>
      </c>
      <c r="AL32" s="54"/>
      <c r="AM32" s="100">
        <v>0.25</v>
      </c>
      <c r="AN32" s="84"/>
      <c r="AO32" s="82"/>
      <c r="AP32" s="84"/>
      <c r="AQ32" s="82"/>
      <c r="AR32" s="84"/>
      <c r="AS32" s="82"/>
      <c r="AT32" s="84"/>
      <c r="AU32" s="82"/>
      <c r="AV32" s="86"/>
      <c r="AW32" s="82"/>
      <c r="AX32" s="87">
        <v>42461</v>
      </c>
      <c r="AY32" s="58">
        <v>6</v>
      </c>
      <c r="AZ32" s="175">
        <f>Tableau13[[#This Row],[Bailleurs]]-SUM(Tableau13[[#This Row],[LOGIREP]:[France Habitation]])</f>
        <v>0</v>
      </c>
      <c r="BA32" s="34">
        <f>Tableau13[[#This Row],[Base de financement]]-Tableau13[[#This Row],[Subvention ANRU]]-Tableau13[[#This Row],[Ville]]-Tableau13[[#This Row],[Plaine Commune]]-Tableau13[[#This Row],[Bailleurs]]-Tableau13[[#This Row],[CDC]]-Tableau13[[#This Row],[Autres]]</f>
        <v>0</v>
      </c>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5"/>
      <c r="EH32" s="35"/>
      <c r="EI32" s="35"/>
      <c r="EJ32" s="35"/>
      <c r="EK32" s="35"/>
      <c r="EL32" s="35"/>
      <c r="EM32" s="35"/>
      <c r="EN32" s="35"/>
      <c r="EO32" s="35"/>
      <c r="EP32" s="35"/>
      <c r="EQ32" s="35"/>
      <c r="ER32" s="35"/>
      <c r="ES32" s="35"/>
      <c r="ET32" s="35"/>
    </row>
    <row r="33" spans="1:150" s="36" customFormat="1" ht="60" customHeight="1" x14ac:dyDescent="0.25">
      <c r="A33" s="88" t="s">
        <v>238</v>
      </c>
      <c r="B33" s="74" t="s">
        <v>833</v>
      </c>
      <c r="C33" s="74" t="s">
        <v>838</v>
      </c>
      <c r="D33" s="29" t="s">
        <v>839</v>
      </c>
      <c r="E33" s="485"/>
      <c r="F33" s="485"/>
      <c r="G33" s="485"/>
      <c r="H33" s="29" t="s">
        <v>40</v>
      </c>
      <c r="I33" s="24" t="s">
        <v>799</v>
      </c>
      <c r="J33" s="36" t="s">
        <v>831</v>
      </c>
      <c r="K33" s="69">
        <v>35000</v>
      </c>
      <c r="L33" s="90"/>
      <c r="M33" s="69">
        <f>Tableau13[[#This Row],[Coût HT]]*1.2</f>
        <v>42000</v>
      </c>
      <c r="N33" s="429">
        <v>35000</v>
      </c>
      <c r="O33" s="69">
        <f>K33*P33</f>
        <v>17500</v>
      </c>
      <c r="P33" s="28">
        <v>0.5</v>
      </c>
      <c r="Q33" s="69">
        <v>0</v>
      </c>
      <c r="R33" s="69"/>
      <c r="S33" s="69"/>
      <c r="T33" s="91">
        <f>K33*U33</f>
        <v>17500</v>
      </c>
      <c r="U33" s="28">
        <v>0.5</v>
      </c>
      <c r="V33" s="69">
        <v>0</v>
      </c>
      <c r="W33" s="92"/>
      <c r="X33" s="313"/>
      <c r="Y33" s="313"/>
      <c r="Z33" s="92"/>
      <c r="AA33" s="92">
        <f>Tableau13[[#This Row],[Bailleurs]]*12.5%</f>
        <v>0</v>
      </c>
      <c r="AB33" s="324"/>
      <c r="AC33" s="324"/>
      <c r="AD33" s="338"/>
      <c r="AE33" s="338"/>
      <c r="AF33" s="338"/>
      <c r="AG33" s="338"/>
      <c r="AH33" s="338"/>
      <c r="AI33" s="283"/>
      <c r="AJ33" s="69"/>
      <c r="AK33" s="277"/>
      <c r="AL33" s="69"/>
      <c r="AM33" s="69"/>
      <c r="AN33" s="69"/>
      <c r="AO33" s="69"/>
      <c r="AP33" s="69"/>
      <c r="AQ33" s="69"/>
      <c r="AR33" s="69"/>
      <c r="AS33" s="69"/>
      <c r="AT33" s="69"/>
      <c r="AU33" s="69"/>
      <c r="AV33" s="69"/>
      <c r="AW33" s="69"/>
      <c r="AX33" s="69"/>
      <c r="AY33" s="69"/>
      <c r="AZ33" s="34">
        <f>Tableau13[[#This Row],[Bailleurs]]-SUM(Tableau13[[#This Row],[LOGIREP]:[France Habitation]])</f>
        <v>0</v>
      </c>
      <c r="BA33" s="34">
        <f>Tableau13[[#This Row],[Base de financement]]-Tableau13[[#This Row],[Subvention ANRU]]-Tableau13[[#This Row],[Ville]]-Tableau13[[#This Row],[Plaine Commune]]-Tableau13[[#This Row],[Bailleurs]]-Tableau13[[#This Row],[CDC]]-Tableau13[[#This Row],[Autres]]</f>
        <v>0</v>
      </c>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5"/>
      <c r="EH33" s="35"/>
      <c r="EI33" s="35"/>
      <c r="EJ33" s="35"/>
      <c r="EK33" s="35"/>
      <c r="EL33" s="35"/>
      <c r="EM33" s="35"/>
      <c r="EN33" s="35"/>
      <c r="EO33" s="35"/>
      <c r="EP33" s="35"/>
      <c r="EQ33" s="35"/>
      <c r="ER33" s="35"/>
      <c r="ES33" s="35"/>
      <c r="ET33" s="35"/>
    </row>
    <row r="34" spans="1:150" s="36" customFormat="1" ht="60" customHeight="1" x14ac:dyDescent="0.25">
      <c r="A34" s="80" t="s">
        <v>550</v>
      </c>
      <c r="B34" s="81" t="s">
        <v>833</v>
      </c>
      <c r="C34" s="45" t="s">
        <v>834</v>
      </c>
      <c r="D34" s="58" t="s">
        <v>835</v>
      </c>
      <c r="E34" s="486"/>
      <c r="F34" s="486"/>
      <c r="G34" s="486"/>
      <c r="H34" s="38" t="s">
        <v>827</v>
      </c>
      <c r="I34" s="24" t="s">
        <v>799</v>
      </c>
      <c r="J34" s="36" t="s">
        <v>831</v>
      </c>
      <c r="K34" s="268">
        <f>35000+15000</f>
        <v>50000</v>
      </c>
      <c r="L34" s="82">
        <v>0.2</v>
      </c>
      <c r="M34" s="83">
        <f>K34*(1+L34)</f>
        <v>60000</v>
      </c>
      <c r="N34" s="426">
        <f>K34</f>
        <v>50000</v>
      </c>
      <c r="O34" s="84">
        <f>K34*P34</f>
        <v>25000</v>
      </c>
      <c r="P34" s="82">
        <v>0.5</v>
      </c>
      <c r="Q34" s="58" t="s">
        <v>1093</v>
      </c>
      <c r="R34" s="84">
        <f>K34*S34</f>
        <v>0</v>
      </c>
      <c r="S34" s="82"/>
      <c r="T34" s="85">
        <f>Tableau13[[#This Row],[Base de financement]]-Tableau13[[#This Row],[Subvention ANRU]]-Tableau13[[#This Row],[Bailleurs]]</f>
        <v>18000</v>
      </c>
      <c r="U34" s="82">
        <v>0.3</v>
      </c>
      <c r="V34" s="84">
        <f>7000</f>
        <v>7000</v>
      </c>
      <c r="W34" s="84"/>
      <c r="X34" s="308">
        <v>5546</v>
      </c>
      <c r="Y34" s="308">
        <v>365</v>
      </c>
      <c r="Z34" s="84"/>
      <c r="AA34" s="84"/>
      <c r="AB34" s="325"/>
      <c r="AC34" s="325"/>
      <c r="AD34" s="339"/>
      <c r="AE34" s="339"/>
      <c r="AF34" s="339"/>
      <c r="AG34" s="339"/>
      <c r="AH34" s="339"/>
      <c r="AI34" s="275">
        <v>1090</v>
      </c>
      <c r="AJ34" s="84"/>
      <c r="AK34" s="275"/>
      <c r="AL34" s="84"/>
      <c r="AM34" s="82">
        <v>0.2</v>
      </c>
      <c r="AN34" s="84">
        <f>K34*AO34</f>
        <v>0</v>
      </c>
      <c r="AO34" s="82"/>
      <c r="AP34" s="84">
        <f>K34*AQ34</f>
        <v>0</v>
      </c>
      <c r="AQ34" s="82"/>
      <c r="AR34" s="84">
        <f>K34*AS34</f>
        <v>0</v>
      </c>
      <c r="AS34" s="82"/>
      <c r="AT34" s="84">
        <f>K34*AU34</f>
        <v>0</v>
      </c>
      <c r="AU34" s="82"/>
      <c r="AV34" s="86">
        <f>K34*AW34</f>
        <v>0</v>
      </c>
      <c r="AW34" s="82"/>
      <c r="AX34" s="87">
        <v>42371</v>
      </c>
      <c r="AY34" s="58">
        <v>4</v>
      </c>
      <c r="AZ34" s="34">
        <f>Tableau13[[#This Row],[Bailleurs]]-SUM(Tableau13[[#This Row],[LOGIREP]:[France Habitation]])</f>
        <v>-1</v>
      </c>
      <c r="BA34" s="34">
        <f>Tableau13[[#This Row],[Base de financement]]-Tableau13[[#This Row],[Subvention ANRU]]-Tableau13[[#This Row],[Ville]]-Tableau13[[#This Row],[Plaine Commune]]-Tableau13[[#This Row],[Bailleurs]]-Tableau13[[#This Row],[CDC]]-Tableau13[[#This Row],[Autres]]</f>
        <v>0</v>
      </c>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5"/>
      <c r="EH34" s="35"/>
      <c r="EI34" s="35"/>
      <c r="EJ34" s="35"/>
      <c r="EK34" s="35"/>
      <c r="EL34" s="35"/>
      <c r="EM34" s="35"/>
      <c r="EN34" s="35"/>
      <c r="EO34" s="35"/>
      <c r="EP34" s="35"/>
      <c r="EQ34" s="35"/>
      <c r="ER34" s="35"/>
      <c r="ES34" s="35"/>
      <c r="ET34" s="35"/>
    </row>
    <row r="35" spans="1:150" s="36" customFormat="1" ht="60" customHeight="1" x14ac:dyDescent="0.25">
      <c r="A35" s="95" t="s">
        <v>343</v>
      </c>
      <c r="B35" s="96" t="s">
        <v>833</v>
      </c>
      <c r="C35" s="97" t="s">
        <v>849</v>
      </c>
      <c r="D35" s="98" t="s">
        <v>850</v>
      </c>
      <c r="E35" s="487"/>
      <c r="F35" s="487"/>
      <c r="G35" s="487"/>
      <c r="H35" s="99" t="s">
        <v>827</v>
      </c>
      <c r="I35" s="24" t="s">
        <v>799</v>
      </c>
      <c r="J35" s="36" t="s">
        <v>831</v>
      </c>
      <c r="K35" s="270">
        <v>50000</v>
      </c>
      <c r="L35" s="100">
        <v>0.2</v>
      </c>
      <c r="M35" s="101">
        <v>60000</v>
      </c>
      <c r="N35" s="425">
        <v>50000</v>
      </c>
      <c r="O35" s="101">
        <v>25000</v>
      </c>
      <c r="P35" s="100">
        <v>0.5</v>
      </c>
      <c r="Q35" s="98" t="s">
        <v>1092</v>
      </c>
      <c r="R35" s="102">
        <v>0</v>
      </c>
      <c r="S35" s="103"/>
      <c r="T35" s="104">
        <v>15000</v>
      </c>
      <c r="U35" s="103">
        <v>0.3</v>
      </c>
      <c r="V35" s="101">
        <v>10000</v>
      </c>
      <c r="W35" s="101"/>
      <c r="X35" s="314">
        <v>10000</v>
      </c>
      <c r="Y35" s="314"/>
      <c r="Z35" s="101"/>
      <c r="AA35" s="101"/>
      <c r="AB35" s="326"/>
      <c r="AC35" s="326"/>
      <c r="AD35" s="340"/>
      <c r="AE35" s="340"/>
      <c r="AF35" s="340"/>
      <c r="AG35" s="340"/>
      <c r="AH35" s="340"/>
      <c r="AI35" s="276"/>
      <c r="AJ35" s="101"/>
      <c r="AK35" s="276"/>
      <c r="AL35" s="101"/>
      <c r="AM35" s="100">
        <v>0.2</v>
      </c>
      <c r="AN35" s="84">
        <v>0</v>
      </c>
      <c r="AO35" s="82"/>
      <c r="AP35" s="84">
        <v>0</v>
      </c>
      <c r="AQ35" s="82"/>
      <c r="AR35" s="84">
        <v>0</v>
      </c>
      <c r="AS35" s="82"/>
      <c r="AT35" s="84">
        <v>0</v>
      </c>
      <c r="AU35" s="82"/>
      <c r="AV35" s="86">
        <v>0</v>
      </c>
      <c r="AW35" s="82"/>
      <c r="AX35" s="87">
        <v>42371</v>
      </c>
      <c r="AY35" s="58">
        <v>4</v>
      </c>
      <c r="AZ35" s="431">
        <f>Tableau13[[#This Row],[Bailleurs]]-SUM(Tableau13[[#This Row],[LOGIREP]:[France Habitation]])</f>
        <v>0</v>
      </c>
      <c r="BA35" s="34">
        <f>Tableau13[[#This Row],[Base de financement]]-Tableau13[[#This Row],[Subvention ANRU]]-Tableau13[[#This Row],[Ville]]-Tableau13[[#This Row],[Plaine Commune]]-Tableau13[[#This Row],[Bailleurs]]-Tableau13[[#This Row],[CDC]]-Tableau13[[#This Row],[Autres]]</f>
        <v>0</v>
      </c>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5"/>
      <c r="EH35" s="35"/>
      <c r="EI35" s="35"/>
      <c r="EJ35" s="35"/>
      <c r="EK35" s="35"/>
      <c r="EL35" s="35"/>
      <c r="EM35" s="35"/>
      <c r="EN35" s="35"/>
      <c r="EO35" s="35"/>
      <c r="EP35" s="35"/>
      <c r="EQ35" s="35"/>
      <c r="ER35" s="35"/>
      <c r="ES35" s="35"/>
      <c r="ET35" s="35"/>
    </row>
    <row r="36" spans="1:150" s="36" customFormat="1" ht="60" customHeight="1" x14ac:dyDescent="0.25">
      <c r="A36" s="88" t="s">
        <v>163</v>
      </c>
      <c r="B36" s="74" t="s">
        <v>833</v>
      </c>
      <c r="C36" s="59" t="s">
        <v>855</v>
      </c>
      <c r="D36" s="69" t="s">
        <v>856</v>
      </c>
      <c r="E36" s="481"/>
      <c r="F36" s="481"/>
      <c r="G36" s="481"/>
      <c r="H36" s="29" t="s">
        <v>53</v>
      </c>
      <c r="I36" s="24" t="s">
        <v>799</v>
      </c>
      <c r="J36" s="36" t="s">
        <v>831</v>
      </c>
      <c r="K36" s="266">
        <v>35000</v>
      </c>
      <c r="L36" s="90" t="s">
        <v>857</v>
      </c>
      <c r="M36" s="25">
        <f>K36*(1+L36)</f>
        <v>42000</v>
      </c>
      <c r="N36" s="424">
        <f>Tableau13[[#This Row],[Coût HT]]</f>
        <v>35000</v>
      </c>
      <c r="O36" s="107">
        <f>K36*P36</f>
        <v>17500</v>
      </c>
      <c r="P36" s="71">
        <v>0.5</v>
      </c>
      <c r="Q36" s="69">
        <f>LEN(P36)</f>
        <v>3</v>
      </c>
      <c r="R36" s="69"/>
      <c r="S36" s="69"/>
      <c r="T36" s="91">
        <f>K36*U36</f>
        <v>17500</v>
      </c>
      <c r="U36" s="71">
        <v>0.5</v>
      </c>
      <c r="V36" s="69">
        <v>0</v>
      </c>
      <c r="W36" s="92"/>
      <c r="X36" s="313"/>
      <c r="Y36" s="313"/>
      <c r="Z36" s="92"/>
      <c r="AA36" s="92">
        <f>Tableau13[[#This Row],[Bailleurs]]*12.5%</f>
        <v>0</v>
      </c>
      <c r="AB36" s="324"/>
      <c r="AC36" s="324"/>
      <c r="AD36" s="338"/>
      <c r="AE36" s="338"/>
      <c r="AF36" s="338"/>
      <c r="AG36" s="338"/>
      <c r="AH36" s="338"/>
      <c r="AI36" s="283"/>
      <c r="AJ36" s="69"/>
      <c r="AK36" s="277"/>
      <c r="AL36" s="69"/>
      <c r="AM36" s="69"/>
      <c r="AN36" s="69"/>
      <c r="AO36" s="69"/>
      <c r="AP36" s="69"/>
      <c r="AQ36" s="69"/>
      <c r="AR36" s="69"/>
      <c r="AS36" s="69"/>
      <c r="AT36" s="69"/>
      <c r="AU36" s="69"/>
      <c r="AV36" s="69"/>
      <c r="AW36" s="69"/>
      <c r="AX36" s="69"/>
      <c r="AY36" s="69"/>
      <c r="AZ36" s="34">
        <f>Tableau13[[#This Row],[Bailleurs]]-SUM(Tableau13[[#This Row],[LOGIREP]:[France Habitation]])</f>
        <v>0</v>
      </c>
      <c r="BA36" s="34">
        <f>Tableau13[[#This Row],[Base de financement]]-Tableau13[[#This Row],[Subvention ANRU]]-Tableau13[[#This Row],[Ville]]-Tableau13[[#This Row],[Plaine Commune]]-Tableau13[[#This Row],[Bailleurs]]-Tableau13[[#This Row],[CDC]]-Tableau13[[#This Row],[Autres]]</f>
        <v>0</v>
      </c>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5"/>
      <c r="EH36" s="35"/>
      <c r="EI36" s="35"/>
      <c r="EJ36" s="35"/>
      <c r="EK36" s="35"/>
      <c r="EL36" s="35"/>
      <c r="EM36" s="35"/>
      <c r="EN36" s="35"/>
      <c r="EO36" s="35"/>
      <c r="EP36" s="35"/>
      <c r="EQ36" s="35"/>
      <c r="ER36" s="35"/>
      <c r="ES36" s="35"/>
      <c r="ET36" s="35"/>
    </row>
    <row r="37" spans="1:150" s="36" customFormat="1" ht="60" customHeight="1" x14ac:dyDescent="0.25">
      <c r="A37" s="88" t="s">
        <v>655</v>
      </c>
      <c r="B37" s="81" t="s">
        <v>833</v>
      </c>
      <c r="C37" s="23" t="s">
        <v>836</v>
      </c>
      <c r="D37" s="24" t="s">
        <v>837</v>
      </c>
      <c r="E37" s="488"/>
      <c r="F37" s="488"/>
      <c r="G37" s="488"/>
      <c r="H37" s="29" t="s">
        <v>53</v>
      </c>
      <c r="I37" s="24" t="s">
        <v>799</v>
      </c>
      <c r="J37" s="36" t="s">
        <v>831</v>
      </c>
      <c r="K37" s="25">
        <v>10000</v>
      </c>
      <c r="L37" s="26">
        <v>0.2</v>
      </c>
      <c r="M37" s="25">
        <f>K37*(1+L37)</f>
        <v>12000</v>
      </c>
      <c r="N37" s="427">
        <f>K37</f>
        <v>10000</v>
      </c>
      <c r="O37" s="27">
        <f>N37*P37</f>
        <v>5000</v>
      </c>
      <c r="P37" s="28">
        <v>0.5</v>
      </c>
      <c r="Q37" s="63"/>
      <c r="R37" s="63"/>
      <c r="S37" s="63"/>
      <c r="T37" s="89">
        <f>N37*U37</f>
        <v>5000</v>
      </c>
      <c r="U37" s="28">
        <v>0.5</v>
      </c>
      <c r="V37" s="63">
        <v>0</v>
      </c>
      <c r="W37" s="62"/>
      <c r="X37" s="312"/>
      <c r="Y37" s="312"/>
      <c r="Z37" s="62"/>
      <c r="AA37" s="62">
        <f>Tableau13[[#This Row],[Bailleurs]]*12.5%</f>
        <v>0</v>
      </c>
      <c r="AB37" s="323"/>
      <c r="AC37" s="323"/>
      <c r="AD37" s="337"/>
      <c r="AE37" s="337"/>
      <c r="AF37" s="337"/>
      <c r="AG37" s="337"/>
      <c r="AH37" s="337"/>
      <c r="AI37" s="282"/>
      <c r="AJ37" s="63"/>
      <c r="AK37" s="274"/>
      <c r="AL37" s="63"/>
      <c r="AM37" s="63"/>
      <c r="AN37" s="63"/>
      <c r="AO37" s="63"/>
      <c r="AP37" s="63"/>
      <c r="AQ37" s="63"/>
      <c r="AR37" s="63"/>
      <c r="AS37" s="63"/>
      <c r="AT37" s="63"/>
      <c r="AU37" s="63"/>
      <c r="AV37" s="63"/>
      <c r="AW37" s="63"/>
      <c r="AX37" s="63"/>
      <c r="AY37" s="63"/>
      <c r="AZ37" s="34">
        <f>Tableau13[[#This Row],[Bailleurs]]-SUM(Tableau13[[#This Row],[LOGIREP]:[France Habitation]])</f>
        <v>0</v>
      </c>
      <c r="BA37" s="34">
        <f>Tableau13[[#This Row],[Base de financement]]-Tableau13[[#This Row],[Subvention ANRU]]-Tableau13[[#This Row],[Ville]]-Tableau13[[#This Row],[Plaine Commune]]-Tableau13[[#This Row],[Bailleurs]]-Tableau13[[#This Row],[CDC]]-Tableau13[[#This Row],[Autres]]</f>
        <v>0</v>
      </c>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5"/>
      <c r="EH37" s="35"/>
      <c r="EI37" s="35"/>
      <c r="EJ37" s="35"/>
      <c r="EK37" s="35"/>
      <c r="EL37" s="35"/>
      <c r="EM37" s="35"/>
      <c r="EN37" s="35"/>
      <c r="EO37" s="35"/>
      <c r="EP37" s="35"/>
      <c r="EQ37" s="35"/>
      <c r="ER37" s="35"/>
      <c r="ES37" s="35"/>
      <c r="ET37" s="35"/>
    </row>
    <row r="38" spans="1:150" s="36" customFormat="1" ht="60" customHeight="1" x14ac:dyDescent="0.25">
      <c r="A38" s="88" t="s">
        <v>238</v>
      </c>
      <c r="B38" s="74" t="s">
        <v>833</v>
      </c>
      <c r="C38" s="81" t="s">
        <v>840</v>
      </c>
      <c r="D38" s="29" t="s">
        <v>841</v>
      </c>
      <c r="E38" s="485"/>
      <c r="F38" s="485"/>
      <c r="G38" s="485"/>
      <c r="H38" s="29" t="s">
        <v>40</v>
      </c>
      <c r="I38" s="24" t="s">
        <v>799</v>
      </c>
      <c r="J38" s="36" t="s">
        <v>831</v>
      </c>
      <c r="K38" s="92">
        <v>40000</v>
      </c>
      <c r="L38" s="90"/>
      <c r="M38" s="69">
        <f>Tableau13[[#This Row],[Coût HT]]*1.2</f>
        <v>48000</v>
      </c>
      <c r="N38" s="429">
        <v>40000</v>
      </c>
      <c r="O38" s="69">
        <f>K38*P38</f>
        <v>20000</v>
      </c>
      <c r="P38" s="28">
        <v>0.5</v>
      </c>
      <c r="Q38" s="69">
        <v>0</v>
      </c>
      <c r="R38" s="69"/>
      <c r="S38" s="69"/>
      <c r="T38" s="91">
        <f>K38*U38</f>
        <v>20000</v>
      </c>
      <c r="U38" s="28">
        <v>0.5</v>
      </c>
      <c r="V38" s="69">
        <v>0</v>
      </c>
      <c r="W38" s="92"/>
      <c r="X38" s="313"/>
      <c r="Y38" s="313"/>
      <c r="Z38" s="92"/>
      <c r="AA38" s="92">
        <f>Tableau13[[#This Row],[Bailleurs]]*12.5%</f>
        <v>0</v>
      </c>
      <c r="AB38" s="324"/>
      <c r="AC38" s="324"/>
      <c r="AD38" s="338"/>
      <c r="AE38" s="338"/>
      <c r="AF38" s="338"/>
      <c r="AG38" s="338"/>
      <c r="AH38" s="338"/>
      <c r="AI38" s="283"/>
      <c r="AJ38" s="69"/>
      <c r="AK38" s="277"/>
      <c r="AL38" s="69"/>
      <c r="AM38" s="69"/>
      <c r="AN38" s="69"/>
      <c r="AO38" s="69"/>
      <c r="AP38" s="69"/>
      <c r="AQ38" s="69"/>
      <c r="AR38" s="69"/>
      <c r="AS38" s="69"/>
      <c r="AT38" s="69"/>
      <c r="AU38" s="69"/>
      <c r="AV38" s="69"/>
      <c r="AW38" s="69"/>
      <c r="AX38" s="69"/>
      <c r="AY38" s="69"/>
      <c r="AZ38" s="34">
        <f>Tableau13[[#This Row],[Bailleurs]]-SUM(Tableau13[[#This Row],[LOGIREP]:[France Habitation]])</f>
        <v>0</v>
      </c>
      <c r="BA38" s="34">
        <f>Tableau13[[#This Row],[Base de financement]]-Tableau13[[#This Row],[Subvention ANRU]]-Tableau13[[#This Row],[Ville]]-Tableau13[[#This Row],[Plaine Commune]]-Tableau13[[#This Row],[Bailleurs]]-Tableau13[[#This Row],[CDC]]-Tableau13[[#This Row],[Autres]]</f>
        <v>0</v>
      </c>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5"/>
      <c r="EH38" s="35"/>
      <c r="EI38" s="35"/>
      <c r="EJ38" s="35"/>
      <c r="EK38" s="35"/>
      <c r="EL38" s="35"/>
      <c r="EM38" s="35"/>
      <c r="EN38" s="35"/>
      <c r="EO38" s="35"/>
      <c r="EP38" s="35"/>
      <c r="EQ38" s="35"/>
      <c r="ER38" s="35"/>
      <c r="ES38" s="35"/>
      <c r="ET38" s="35"/>
    </row>
    <row r="39" spans="1:150" s="36" customFormat="1" ht="60" customHeight="1" x14ac:dyDescent="0.25">
      <c r="A39" s="21" t="s">
        <v>418</v>
      </c>
      <c r="B39" s="22" t="s">
        <v>833</v>
      </c>
      <c r="C39" s="59" t="s">
        <v>842</v>
      </c>
      <c r="D39" s="29" t="s">
        <v>843</v>
      </c>
      <c r="E39" s="485"/>
      <c r="F39" s="485"/>
      <c r="G39" s="485"/>
      <c r="H39" s="29" t="s">
        <v>210</v>
      </c>
      <c r="I39" s="24" t="s">
        <v>799</v>
      </c>
      <c r="J39" s="36" t="s">
        <v>831</v>
      </c>
      <c r="K39" s="52">
        <v>25000</v>
      </c>
      <c r="L39" s="53">
        <v>0.2</v>
      </c>
      <c r="M39" s="70">
        <v>30000</v>
      </c>
      <c r="N39" s="424">
        <v>25000</v>
      </c>
      <c r="O39" s="54">
        <v>12500</v>
      </c>
      <c r="P39" s="28">
        <v>0.5</v>
      </c>
      <c r="Q39" s="29"/>
      <c r="R39" s="54">
        <v>0</v>
      </c>
      <c r="S39" s="53"/>
      <c r="T39" s="55">
        <v>12500</v>
      </c>
      <c r="U39" s="53">
        <v>0.5</v>
      </c>
      <c r="V39" s="54">
        <v>0</v>
      </c>
      <c r="W39" s="54"/>
      <c r="X39" s="289"/>
      <c r="Y39" s="289"/>
      <c r="Z39" s="54"/>
      <c r="AA39" s="54">
        <f>Tableau13[[#This Row],[Bailleurs]]*12.5%</f>
        <v>0</v>
      </c>
      <c r="AB39" s="320"/>
      <c r="AC39" s="320"/>
      <c r="AD39" s="334"/>
      <c r="AE39" s="334"/>
      <c r="AF39" s="334"/>
      <c r="AG39" s="334"/>
      <c r="AH39" s="334"/>
      <c r="AI39" s="273"/>
      <c r="AJ39" s="54"/>
      <c r="AK39" s="273"/>
      <c r="AL39" s="54"/>
      <c r="AM39" s="53"/>
      <c r="AN39" s="54">
        <v>0</v>
      </c>
      <c r="AO39" s="53"/>
      <c r="AP39" s="54">
        <v>0</v>
      </c>
      <c r="AQ39" s="53"/>
      <c r="AR39" s="54">
        <v>0</v>
      </c>
      <c r="AS39" s="53"/>
      <c r="AT39" s="54">
        <v>0</v>
      </c>
      <c r="AU39" s="53"/>
      <c r="AV39" s="56">
        <v>0</v>
      </c>
      <c r="AW39" s="53"/>
      <c r="AX39" s="57">
        <v>42339</v>
      </c>
      <c r="AY39" s="29">
        <v>18</v>
      </c>
      <c r="AZ39" s="34">
        <f>Tableau13[[#This Row],[Bailleurs]]-SUM(Tableau13[[#This Row],[LOGIREP]:[France Habitation]])</f>
        <v>0</v>
      </c>
      <c r="BA39" s="34">
        <f>Tableau13[[#This Row],[Base de financement]]-Tableau13[[#This Row],[Subvention ANRU]]-Tableau13[[#This Row],[Ville]]-Tableau13[[#This Row],[Plaine Commune]]-Tableau13[[#This Row],[Bailleurs]]-Tableau13[[#This Row],[CDC]]-Tableau13[[#This Row],[Autres]]</f>
        <v>0</v>
      </c>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5"/>
      <c r="EH39" s="35"/>
      <c r="EI39" s="35"/>
      <c r="EJ39" s="35"/>
      <c r="EK39" s="35"/>
      <c r="EL39" s="35"/>
      <c r="EM39" s="35"/>
      <c r="EN39" s="35"/>
      <c r="EO39" s="35"/>
      <c r="EP39" s="35"/>
      <c r="EQ39" s="35"/>
      <c r="ER39" s="35"/>
      <c r="ES39" s="35"/>
      <c r="ET39" s="35"/>
    </row>
    <row r="40" spans="1:150" s="36" customFormat="1" ht="60" customHeight="1" x14ac:dyDescent="0.25">
      <c r="A40" s="21" t="s">
        <v>807</v>
      </c>
      <c r="B40" s="22" t="s">
        <v>833</v>
      </c>
      <c r="C40" s="37" t="s">
        <v>847</v>
      </c>
      <c r="D40" s="29" t="s">
        <v>848</v>
      </c>
      <c r="E40" s="485">
        <v>20</v>
      </c>
      <c r="F40" s="485">
        <v>80</v>
      </c>
      <c r="G40" s="485"/>
      <c r="H40" s="29" t="s">
        <v>827</v>
      </c>
      <c r="I40" s="24" t="s">
        <v>799</v>
      </c>
      <c r="J40" s="36" t="s">
        <v>831</v>
      </c>
      <c r="K40" s="52">
        <v>25000</v>
      </c>
      <c r="L40" s="53">
        <v>0.2</v>
      </c>
      <c r="M40" s="54">
        <v>30000</v>
      </c>
      <c r="N40" s="424">
        <v>25000</v>
      </c>
      <c r="O40" s="69">
        <f>K40*P40</f>
        <v>12500</v>
      </c>
      <c r="P40" s="53">
        <v>0.5</v>
      </c>
      <c r="Q40" s="29"/>
      <c r="R40" s="54"/>
      <c r="S40" s="53"/>
      <c r="T40" s="55">
        <v>12500</v>
      </c>
      <c r="U40" s="53">
        <v>0.5</v>
      </c>
      <c r="V40" s="54">
        <v>0</v>
      </c>
      <c r="W40" s="54"/>
      <c r="X40" s="289"/>
      <c r="Y40" s="289"/>
      <c r="Z40" s="54"/>
      <c r="AA40" s="54">
        <f>Tableau13[[#This Row],[Bailleurs]]*12.5%</f>
        <v>0</v>
      </c>
      <c r="AB40" s="320"/>
      <c r="AC40" s="320"/>
      <c r="AD40" s="334"/>
      <c r="AE40" s="334"/>
      <c r="AF40" s="334"/>
      <c r="AG40" s="334"/>
      <c r="AH40" s="334"/>
      <c r="AI40" s="273"/>
      <c r="AJ40" s="54"/>
      <c r="AK40" s="273"/>
      <c r="AL40" s="54"/>
      <c r="AM40" s="53"/>
      <c r="AN40" s="54"/>
      <c r="AO40" s="53"/>
      <c r="AP40" s="54">
        <v>0</v>
      </c>
      <c r="AQ40" s="53"/>
      <c r="AR40" s="54">
        <v>0</v>
      </c>
      <c r="AS40" s="53"/>
      <c r="AT40" s="54">
        <v>0</v>
      </c>
      <c r="AU40" s="53"/>
      <c r="AV40" s="56">
        <v>0</v>
      </c>
      <c r="AW40" s="53"/>
      <c r="AX40" s="57"/>
      <c r="AY40" s="29"/>
      <c r="AZ40" s="431">
        <f>Tableau13[[#This Row],[Bailleurs]]-SUM(Tableau13[[#This Row],[LOGIREP]:[France Habitation]])</f>
        <v>0</v>
      </c>
      <c r="BA40" s="34">
        <f>Tableau13[[#This Row],[Base de financement]]-Tableau13[[#This Row],[Subvention ANRU]]-Tableau13[[#This Row],[Ville]]-Tableau13[[#This Row],[Plaine Commune]]-Tableau13[[#This Row],[Bailleurs]]-Tableau13[[#This Row],[CDC]]-Tableau13[[#This Row],[Autres]]</f>
        <v>0</v>
      </c>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5"/>
      <c r="EH40" s="35"/>
      <c r="EI40" s="35"/>
      <c r="EJ40" s="35"/>
      <c r="EK40" s="35"/>
      <c r="EL40" s="35"/>
      <c r="EM40" s="35"/>
      <c r="EN40" s="35"/>
      <c r="EO40" s="35"/>
      <c r="EP40" s="35"/>
      <c r="EQ40" s="35"/>
      <c r="ER40" s="35"/>
      <c r="ES40" s="35"/>
      <c r="ET40" s="35"/>
    </row>
    <row r="41" spans="1:150" s="36" customFormat="1" ht="60" customHeight="1" x14ac:dyDescent="0.25">
      <c r="A41" s="21" t="s">
        <v>812</v>
      </c>
      <c r="B41" s="22" t="s">
        <v>833</v>
      </c>
      <c r="C41" s="59" t="s">
        <v>851</v>
      </c>
      <c r="D41" s="69" t="s">
        <v>852</v>
      </c>
      <c r="E41" s="481"/>
      <c r="F41" s="481"/>
      <c r="G41" s="481"/>
      <c r="H41" s="29" t="s">
        <v>210</v>
      </c>
      <c r="I41" s="24" t="s">
        <v>799</v>
      </c>
      <c r="J41" s="36" t="s">
        <v>831</v>
      </c>
      <c r="K41" s="52">
        <v>20000</v>
      </c>
      <c r="L41" s="53">
        <v>0.2</v>
      </c>
      <c r="M41" s="70">
        <v>24000</v>
      </c>
      <c r="N41" s="424">
        <v>20000</v>
      </c>
      <c r="O41" s="54">
        <v>10000</v>
      </c>
      <c r="P41" s="53">
        <v>0.5</v>
      </c>
      <c r="Q41" s="29"/>
      <c r="R41" s="54">
        <v>0</v>
      </c>
      <c r="S41" s="53"/>
      <c r="T41" s="55">
        <v>10000</v>
      </c>
      <c r="U41" s="53">
        <v>0.5</v>
      </c>
      <c r="V41" s="54">
        <v>0</v>
      </c>
      <c r="W41" s="54"/>
      <c r="X41" s="289"/>
      <c r="Y41" s="289"/>
      <c r="Z41" s="54"/>
      <c r="AA41" s="54">
        <f>Tableau13[[#This Row],[Bailleurs]]*12.5%</f>
        <v>0</v>
      </c>
      <c r="AB41" s="320"/>
      <c r="AC41" s="320"/>
      <c r="AD41" s="334"/>
      <c r="AE41" s="334"/>
      <c r="AF41" s="334"/>
      <c r="AG41" s="334"/>
      <c r="AH41" s="334"/>
      <c r="AI41" s="273"/>
      <c r="AJ41" s="54"/>
      <c r="AK41" s="273"/>
      <c r="AL41" s="54"/>
      <c r="AM41" s="53"/>
      <c r="AN41" s="54">
        <v>0</v>
      </c>
      <c r="AO41" s="53"/>
      <c r="AP41" s="54">
        <v>0</v>
      </c>
      <c r="AQ41" s="53"/>
      <c r="AR41" s="54">
        <v>0</v>
      </c>
      <c r="AS41" s="53"/>
      <c r="AT41" s="54">
        <v>0</v>
      </c>
      <c r="AU41" s="53"/>
      <c r="AV41" s="56">
        <v>0</v>
      </c>
      <c r="AW41" s="53"/>
      <c r="AX41" s="57">
        <v>42371</v>
      </c>
      <c r="AY41" s="29">
        <v>6</v>
      </c>
      <c r="AZ41" s="34">
        <f>Tableau13[[#This Row],[Bailleurs]]-SUM(Tableau13[[#This Row],[LOGIREP]:[France Habitation]])</f>
        <v>0</v>
      </c>
      <c r="BA41" s="34">
        <f>Tableau13[[#This Row],[Base de financement]]-Tableau13[[#This Row],[Subvention ANRU]]-Tableau13[[#This Row],[Ville]]-Tableau13[[#This Row],[Plaine Commune]]-Tableau13[[#This Row],[Bailleurs]]-Tableau13[[#This Row],[CDC]]-Tableau13[[#This Row],[Autres]]</f>
        <v>0</v>
      </c>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5"/>
      <c r="EH41" s="35"/>
      <c r="EI41" s="35"/>
      <c r="EJ41" s="35"/>
      <c r="EK41" s="35"/>
      <c r="EL41" s="35"/>
      <c r="EM41" s="35"/>
      <c r="EN41" s="35"/>
      <c r="EO41" s="35"/>
      <c r="EP41" s="35"/>
      <c r="EQ41" s="35"/>
      <c r="ER41" s="35"/>
      <c r="ES41" s="35"/>
      <c r="ET41" s="35"/>
    </row>
    <row r="42" spans="1:150" s="36" customFormat="1" ht="60" customHeight="1" x14ac:dyDescent="0.25">
      <c r="A42" s="21" t="s">
        <v>812</v>
      </c>
      <c r="B42" s="22" t="s">
        <v>833</v>
      </c>
      <c r="C42" s="37" t="s">
        <v>853</v>
      </c>
      <c r="D42" s="69" t="s">
        <v>854</v>
      </c>
      <c r="E42" s="481"/>
      <c r="F42" s="481"/>
      <c r="G42" s="481"/>
      <c r="H42" s="66" t="s">
        <v>210</v>
      </c>
      <c r="I42" s="24" t="s">
        <v>799</v>
      </c>
      <c r="J42" s="36" t="s">
        <v>831</v>
      </c>
      <c r="K42" s="52">
        <v>20000</v>
      </c>
      <c r="L42" s="53">
        <v>0.2</v>
      </c>
      <c r="M42" s="70">
        <v>24000</v>
      </c>
      <c r="N42" s="428">
        <v>20000</v>
      </c>
      <c r="O42" s="54">
        <v>10000</v>
      </c>
      <c r="P42" s="71">
        <v>0.5</v>
      </c>
      <c r="Q42" s="74"/>
      <c r="R42" s="54">
        <v>0</v>
      </c>
      <c r="S42" s="71"/>
      <c r="T42" s="55">
        <v>10000</v>
      </c>
      <c r="U42" s="71">
        <v>0.5</v>
      </c>
      <c r="V42" s="54">
        <v>0</v>
      </c>
      <c r="W42" s="54"/>
      <c r="X42" s="289"/>
      <c r="Y42" s="289"/>
      <c r="Z42" s="54"/>
      <c r="AA42" s="54">
        <f>Tableau13[[#This Row],[Bailleurs]]*12.5%</f>
        <v>0</v>
      </c>
      <c r="AB42" s="320"/>
      <c r="AC42" s="320"/>
      <c r="AD42" s="334"/>
      <c r="AE42" s="334"/>
      <c r="AF42" s="334"/>
      <c r="AG42" s="334"/>
      <c r="AH42" s="334"/>
      <c r="AI42" s="273"/>
      <c r="AJ42" s="54"/>
      <c r="AK42" s="273"/>
      <c r="AL42" s="54"/>
      <c r="AM42" s="71"/>
      <c r="AN42" s="54">
        <v>0</v>
      </c>
      <c r="AO42" s="71"/>
      <c r="AP42" s="54">
        <v>0</v>
      </c>
      <c r="AQ42" s="71"/>
      <c r="AR42" s="54">
        <v>0</v>
      </c>
      <c r="AS42" s="71"/>
      <c r="AT42" s="54">
        <v>0</v>
      </c>
      <c r="AU42" s="71"/>
      <c r="AV42" s="106">
        <v>0</v>
      </c>
      <c r="AW42" s="71"/>
      <c r="AX42" s="73">
        <v>42370</v>
      </c>
      <c r="AY42" s="74">
        <v>6</v>
      </c>
      <c r="AZ42" s="34">
        <f>Tableau13[[#This Row],[Bailleurs]]-SUM(Tableau13[[#This Row],[LOGIREP]:[France Habitation]])</f>
        <v>0</v>
      </c>
      <c r="BA42" s="34">
        <f>Tableau13[[#This Row],[Base de financement]]-Tableau13[[#This Row],[Subvention ANRU]]-Tableau13[[#This Row],[Ville]]-Tableau13[[#This Row],[Plaine Commune]]-Tableau13[[#This Row],[Bailleurs]]-Tableau13[[#This Row],[CDC]]-Tableau13[[#This Row],[Autres]]</f>
        <v>0</v>
      </c>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5"/>
      <c r="EH42" s="35"/>
      <c r="EI42" s="35"/>
      <c r="EJ42" s="35"/>
      <c r="EK42" s="35"/>
      <c r="EL42" s="35"/>
      <c r="EM42" s="35"/>
      <c r="EN42" s="35"/>
      <c r="EO42" s="35"/>
      <c r="EP42" s="35"/>
      <c r="EQ42" s="35"/>
      <c r="ER42" s="35"/>
      <c r="ES42" s="35"/>
      <c r="ET42" s="35"/>
    </row>
    <row r="43" spans="1:150" s="36" customFormat="1" ht="60" customHeight="1" x14ac:dyDescent="0.25">
      <c r="A43" s="21" t="s">
        <v>238</v>
      </c>
      <c r="B43" s="22" t="s">
        <v>861</v>
      </c>
      <c r="C43" s="37" t="s">
        <v>864</v>
      </c>
      <c r="D43" s="29" t="s">
        <v>865</v>
      </c>
      <c r="E43" s="485"/>
      <c r="F43" s="485"/>
      <c r="G43" s="485"/>
      <c r="H43" s="29" t="s">
        <v>827</v>
      </c>
      <c r="I43" s="24" t="s">
        <v>799</v>
      </c>
      <c r="J43" s="36" t="s">
        <v>831</v>
      </c>
      <c r="K43" s="52">
        <v>30000</v>
      </c>
      <c r="L43" s="53">
        <v>0.2</v>
      </c>
      <c r="M43" s="70">
        <f>K43*(1+L43)</f>
        <v>36000</v>
      </c>
      <c r="N43" s="54">
        <f>K43</f>
        <v>30000</v>
      </c>
      <c r="O43" s="54">
        <f>N43*P43</f>
        <v>15000</v>
      </c>
      <c r="P43" s="53">
        <v>0.5</v>
      </c>
      <c r="Q43" s="29"/>
      <c r="R43" s="54">
        <f>S43*N43</f>
        <v>0</v>
      </c>
      <c r="S43" s="53"/>
      <c r="T43" s="55">
        <f>N43*U43</f>
        <v>15000</v>
      </c>
      <c r="U43" s="53">
        <v>0.5</v>
      </c>
      <c r="V43" s="54">
        <f>N43*AM43</f>
        <v>0</v>
      </c>
      <c r="W43" s="54"/>
      <c r="X43" s="289"/>
      <c r="Y43" s="289"/>
      <c r="Z43" s="54"/>
      <c r="AA43" s="54">
        <f>Tableau13[[#This Row],[Bailleurs]]*12.5%</f>
        <v>0</v>
      </c>
      <c r="AB43" s="320"/>
      <c r="AC43" s="320"/>
      <c r="AD43" s="334"/>
      <c r="AE43" s="334"/>
      <c r="AF43" s="334"/>
      <c r="AG43" s="334"/>
      <c r="AH43" s="334"/>
      <c r="AI43" s="273"/>
      <c r="AJ43" s="54"/>
      <c r="AK43" s="273"/>
      <c r="AL43" s="54"/>
      <c r="AM43" s="53"/>
      <c r="AN43" s="54">
        <f>N43*AO43</f>
        <v>0</v>
      </c>
      <c r="AO43" s="53"/>
      <c r="AP43" s="54">
        <f>N43*AQ43</f>
        <v>0</v>
      </c>
      <c r="AQ43" s="53"/>
      <c r="AR43" s="54">
        <f>N43*AS43</f>
        <v>0</v>
      </c>
      <c r="AS43" s="53"/>
      <c r="AT43" s="54">
        <f>N43*AU43</f>
        <v>0</v>
      </c>
      <c r="AU43" s="53"/>
      <c r="AV43" s="56">
        <f>N43*AW43</f>
        <v>0</v>
      </c>
      <c r="AW43" s="53"/>
      <c r="AX43" s="57">
        <v>42430</v>
      </c>
      <c r="AY43" s="29">
        <v>3</v>
      </c>
      <c r="AZ43" s="34">
        <f>Tableau13[[#This Row],[Bailleurs]]-SUM(Tableau13[[#This Row],[LOGIREP]:[France Habitation]])</f>
        <v>0</v>
      </c>
      <c r="BA43" s="34">
        <f>Tableau13[[#This Row],[Base de financement]]-Tableau13[[#This Row],[Subvention ANRU]]-Tableau13[[#This Row],[Ville]]-Tableau13[[#This Row],[Plaine Commune]]-Tableau13[[#This Row],[Bailleurs]]-Tableau13[[#This Row],[CDC]]-Tableau13[[#This Row],[Autres]]</f>
        <v>0</v>
      </c>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5"/>
      <c r="EH43" s="35"/>
      <c r="EI43" s="35"/>
      <c r="EJ43" s="35"/>
      <c r="EK43" s="35"/>
      <c r="EL43" s="35"/>
      <c r="EM43" s="35"/>
      <c r="EN43" s="35"/>
      <c r="EO43" s="35"/>
      <c r="EP43" s="35"/>
      <c r="EQ43" s="35"/>
      <c r="ER43" s="35"/>
      <c r="ES43" s="35"/>
      <c r="ET43" s="35"/>
    </row>
    <row r="44" spans="1:150" s="36" customFormat="1" ht="60" customHeight="1" x14ac:dyDescent="0.25">
      <c r="A44" s="21" t="s">
        <v>655</v>
      </c>
      <c r="B44" s="22" t="s">
        <v>861</v>
      </c>
      <c r="C44" s="23" t="s">
        <v>862</v>
      </c>
      <c r="D44" s="38" t="s">
        <v>863</v>
      </c>
      <c r="E44" s="489"/>
      <c r="F44" s="489"/>
      <c r="G44" s="489"/>
      <c r="H44" s="38" t="s">
        <v>827</v>
      </c>
      <c r="I44" s="24" t="s">
        <v>799</v>
      </c>
      <c r="J44" s="36" t="s">
        <v>831</v>
      </c>
      <c r="K44" s="62">
        <v>20000</v>
      </c>
      <c r="L44" s="53">
        <v>0.2</v>
      </c>
      <c r="M44" s="70">
        <f>K44*(1+L44)</f>
        <v>24000</v>
      </c>
      <c r="N44" s="62">
        <f>Tableau13[[#This Row],[Coût HT]]</f>
        <v>20000</v>
      </c>
      <c r="O44" s="54">
        <f>N44*P44</f>
        <v>10000</v>
      </c>
      <c r="P44" s="53">
        <v>0.5</v>
      </c>
      <c r="Q44" s="63"/>
      <c r="R44" s="63"/>
      <c r="S44" s="41"/>
      <c r="T44" s="55">
        <f>N44*U44</f>
        <v>10000</v>
      </c>
      <c r="U44" s="53">
        <v>0.5</v>
      </c>
      <c r="V44" s="63">
        <v>0</v>
      </c>
      <c r="W44" s="62"/>
      <c r="X44" s="312"/>
      <c r="Y44" s="312"/>
      <c r="Z44" s="62"/>
      <c r="AA44" s="62">
        <f>Tableau13[[#This Row],[Bailleurs]]*12.5%</f>
        <v>0</v>
      </c>
      <c r="AB44" s="323"/>
      <c r="AC44" s="323"/>
      <c r="AD44" s="337"/>
      <c r="AE44" s="337"/>
      <c r="AF44" s="337"/>
      <c r="AG44" s="337"/>
      <c r="AH44" s="337"/>
      <c r="AI44" s="282"/>
      <c r="AJ44" s="63"/>
      <c r="AK44" s="274"/>
      <c r="AL44" s="63"/>
      <c r="AM44" s="63"/>
      <c r="AN44" s="63"/>
      <c r="AO44" s="63"/>
      <c r="AP44" s="63"/>
      <c r="AQ44" s="63"/>
      <c r="AR44" s="63"/>
      <c r="AS44" s="63"/>
      <c r="AT44" s="63"/>
      <c r="AU44" s="63"/>
      <c r="AV44" s="63"/>
      <c r="AW44" s="63"/>
      <c r="AX44" s="63"/>
      <c r="AY44" s="63"/>
      <c r="AZ44" s="34">
        <f>Tableau13[[#This Row],[Bailleurs]]-SUM(Tableau13[[#This Row],[LOGIREP]:[France Habitation]])</f>
        <v>0</v>
      </c>
      <c r="BA44" s="34">
        <f>Tableau13[[#This Row],[Base de financement]]-Tableau13[[#This Row],[Subvention ANRU]]-Tableau13[[#This Row],[Ville]]-Tableau13[[#This Row],[Plaine Commune]]-Tableau13[[#This Row],[Bailleurs]]-Tableau13[[#This Row],[CDC]]-Tableau13[[#This Row],[Autres]]</f>
        <v>0</v>
      </c>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5"/>
      <c r="EH44" s="35"/>
      <c r="EI44" s="35"/>
      <c r="EJ44" s="35"/>
      <c r="EK44" s="35"/>
      <c r="EL44" s="35"/>
      <c r="EM44" s="35"/>
      <c r="EN44" s="35"/>
      <c r="EO44" s="35"/>
      <c r="EP44" s="35"/>
      <c r="EQ44" s="35"/>
      <c r="ER44" s="35"/>
      <c r="ES44" s="35"/>
      <c r="ET44" s="35"/>
    </row>
    <row r="45" spans="1:150" s="36" customFormat="1" ht="60" customHeight="1" x14ac:dyDescent="0.25">
      <c r="A45" s="21" t="s">
        <v>238</v>
      </c>
      <c r="B45" s="22" t="s">
        <v>861</v>
      </c>
      <c r="C45" s="81" t="s">
        <v>866</v>
      </c>
      <c r="D45" s="29" t="s">
        <v>867</v>
      </c>
      <c r="E45" s="485"/>
      <c r="F45" s="485"/>
      <c r="G45" s="485"/>
      <c r="H45" s="29" t="s">
        <v>827</v>
      </c>
      <c r="I45" s="24" t="s">
        <v>799</v>
      </c>
      <c r="J45" s="36" t="s">
        <v>831</v>
      </c>
      <c r="K45" s="52">
        <v>15000</v>
      </c>
      <c r="L45" s="53">
        <v>0.2</v>
      </c>
      <c r="M45" s="70">
        <v>18000</v>
      </c>
      <c r="N45" s="54">
        <v>15000</v>
      </c>
      <c r="O45" s="54">
        <v>7500</v>
      </c>
      <c r="P45" s="53">
        <v>0.5</v>
      </c>
      <c r="Q45" s="29"/>
      <c r="R45" s="54"/>
      <c r="S45" s="53"/>
      <c r="T45" s="55">
        <v>7500</v>
      </c>
      <c r="U45" s="53">
        <v>0.5</v>
      </c>
      <c r="V45" s="54">
        <v>0</v>
      </c>
      <c r="W45" s="54"/>
      <c r="X45" s="289"/>
      <c r="Y45" s="289"/>
      <c r="Z45" s="54"/>
      <c r="AA45" s="54">
        <f>Tableau13[[#This Row],[Bailleurs]]*12.5%</f>
        <v>0</v>
      </c>
      <c r="AB45" s="320"/>
      <c r="AC45" s="320"/>
      <c r="AD45" s="334"/>
      <c r="AE45" s="334"/>
      <c r="AF45" s="334"/>
      <c r="AG45" s="334"/>
      <c r="AH45" s="334"/>
      <c r="AI45" s="273"/>
      <c r="AJ45" s="54"/>
      <c r="AK45" s="273"/>
      <c r="AL45" s="54"/>
      <c r="AM45" s="53"/>
      <c r="AN45" s="54"/>
      <c r="AO45" s="53"/>
      <c r="AP45" s="54"/>
      <c r="AQ45" s="53"/>
      <c r="AR45" s="54"/>
      <c r="AS45" s="53"/>
      <c r="AT45" s="54"/>
      <c r="AU45" s="53"/>
      <c r="AV45" s="56"/>
      <c r="AW45" s="53"/>
      <c r="AX45" s="57"/>
      <c r="AY45" s="29"/>
      <c r="AZ45" s="34">
        <f>Tableau13[[#This Row],[Bailleurs]]-SUM(Tableau13[[#This Row],[LOGIREP]:[France Habitation]])</f>
        <v>0</v>
      </c>
      <c r="BA45" s="34">
        <f>Tableau13[[#This Row],[Base de financement]]-Tableau13[[#This Row],[Subvention ANRU]]-Tableau13[[#This Row],[Ville]]-Tableau13[[#This Row],[Plaine Commune]]-Tableau13[[#This Row],[Bailleurs]]-Tableau13[[#This Row],[CDC]]-Tableau13[[#This Row],[Autres]]</f>
        <v>0</v>
      </c>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5"/>
      <c r="EH45" s="35"/>
      <c r="EI45" s="35"/>
      <c r="EJ45" s="35"/>
      <c r="EK45" s="35"/>
      <c r="EL45" s="35"/>
      <c r="EM45" s="35"/>
      <c r="EN45" s="35"/>
      <c r="EO45" s="35"/>
      <c r="EP45" s="35"/>
      <c r="EQ45" s="35"/>
      <c r="ER45" s="35"/>
      <c r="ES45" s="35"/>
      <c r="ET45" s="35"/>
    </row>
    <row r="46" spans="1:150" s="36" customFormat="1" ht="60" customHeight="1" x14ac:dyDescent="0.25">
      <c r="A46" s="21" t="s">
        <v>418</v>
      </c>
      <c r="B46" s="22" t="s">
        <v>861</v>
      </c>
      <c r="C46" s="59" t="s">
        <v>868</v>
      </c>
      <c r="D46" s="29" t="s">
        <v>869</v>
      </c>
      <c r="E46" s="485"/>
      <c r="F46" s="485"/>
      <c r="G46" s="485"/>
      <c r="H46" s="29" t="s">
        <v>827</v>
      </c>
      <c r="I46" s="24" t="s">
        <v>799</v>
      </c>
      <c r="J46" s="36" t="s">
        <v>831</v>
      </c>
      <c r="K46" s="52">
        <v>10000</v>
      </c>
      <c r="L46" s="53">
        <v>0.2</v>
      </c>
      <c r="M46" s="70">
        <f>K46*(1+L46)</f>
        <v>12000</v>
      </c>
      <c r="N46" s="54">
        <v>10000</v>
      </c>
      <c r="O46" s="54">
        <f>K46*P46</f>
        <v>5000</v>
      </c>
      <c r="P46" s="53">
        <v>0.5</v>
      </c>
      <c r="Q46" s="29"/>
      <c r="R46" s="54">
        <f>K46*S46</f>
        <v>0</v>
      </c>
      <c r="S46" s="53"/>
      <c r="T46" s="55">
        <f>K46*U46</f>
        <v>5000</v>
      </c>
      <c r="U46" s="53">
        <v>0.5</v>
      </c>
      <c r="V46" s="54">
        <f>K46*AM46</f>
        <v>0</v>
      </c>
      <c r="W46" s="54"/>
      <c r="X46" s="289"/>
      <c r="Y46" s="289"/>
      <c r="Z46" s="54"/>
      <c r="AA46" s="54">
        <f>Tableau13[[#This Row],[Bailleurs]]*12.5%</f>
        <v>0</v>
      </c>
      <c r="AB46" s="320"/>
      <c r="AC46" s="320"/>
      <c r="AD46" s="334"/>
      <c r="AE46" s="334"/>
      <c r="AF46" s="334"/>
      <c r="AG46" s="334"/>
      <c r="AH46" s="334"/>
      <c r="AI46" s="273"/>
      <c r="AJ46" s="54"/>
      <c r="AK46" s="273"/>
      <c r="AL46" s="54"/>
      <c r="AM46" s="53"/>
      <c r="AN46" s="54">
        <f>K46*AO46</f>
        <v>0</v>
      </c>
      <c r="AO46" s="53"/>
      <c r="AP46" s="54">
        <f>K46*AQ46</f>
        <v>0</v>
      </c>
      <c r="AQ46" s="53"/>
      <c r="AR46" s="54">
        <f>K46*AS46</f>
        <v>0</v>
      </c>
      <c r="AS46" s="53"/>
      <c r="AT46" s="54">
        <f>K46*AU46</f>
        <v>0</v>
      </c>
      <c r="AU46" s="53"/>
      <c r="AV46" s="56">
        <f>K46*AW46</f>
        <v>0</v>
      </c>
      <c r="AW46" s="53"/>
      <c r="AX46" s="57">
        <v>42370</v>
      </c>
      <c r="AY46" s="29">
        <v>18</v>
      </c>
      <c r="AZ46" s="34">
        <f>Tableau13[[#This Row],[Bailleurs]]-SUM(Tableau13[[#This Row],[LOGIREP]:[France Habitation]])</f>
        <v>0</v>
      </c>
      <c r="BA46" s="34">
        <f>Tableau13[[#This Row],[Base de financement]]-Tableau13[[#This Row],[Subvention ANRU]]-Tableau13[[#This Row],[Ville]]-Tableau13[[#This Row],[Plaine Commune]]-Tableau13[[#This Row],[Bailleurs]]-Tableau13[[#This Row],[CDC]]-Tableau13[[#This Row],[Autres]]</f>
        <v>0</v>
      </c>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5"/>
      <c r="EH46" s="35"/>
      <c r="EI46" s="35"/>
      <c r="EJ46" s="35"/>
      <c r="EK46" s="35"/>
      <c r="EL46" s="35"/>
      <c r="EM46" s="35"/>
      <c r="EN46" s="35"/>
      <c r="EO46" s="35"/>
      <c r="EP46" s="35"/>
      <c r="EQ46" s="35"/>
      <c r="ER46" s="35"/>
      <c r="ES46" s="35"/>
      <c r="ET46" s="35"/>
    </row>
    <row r="47" spans="1:150" s="36" customFormat="1" ht="60" customHeight="1" x14ac:dyDescent="0.25">
      <c r="A47" s="21" t="s">
        <v>418</v>
      </c>
      <c r="B47" s="22" t="s">
        <v>861</v>
      </c>
      <c r="C47" s="59" t="s">
        <v>870</v>
      </c>
      <c r="D47" s="94" t="s">
        <v>871</v>
      </c>
      <c r="E47" s="483"/>
      <c r="F47" s="483"/>
      <c r="G47" s="483"/>
      <c r="H47" s="66" t="s">
        <v>827</v>
      </c>
      <c r="I47" s="24" t="s">
        <v>799</v>
      </c>
      <c r="J47" s="36" t="s">
        <v>831</v>
      </c>
      <c r="K47" s="52">
        <v>10000</v>
      </c>
      <c r="L47" s="53">
        <v>0.2</v>
      </c>
      <c r="M47" s="70">
        <v>12000</v>
      </c>
      <c r="N47" s="54">
        <v>10000</v>
      </c>
      <c r="O47" s="54">
        <v>5000</v>
      </c>
      <c r="P47" s="53">
        <v>0.5</v>
      </c>
      <c r="Q47" s="29"/>
      <c r="R47" s="54">
        <v>0</v>
      </c>
      <c r="S47" s="53"/>
      <c r="T47" s="55">
        <v>5000</v>
      </c>
      <c r="U47" s="53">
        <v>0.5</v>
      </c>
      <c r="V47" s="54">
        <v>0</v>
      </c>
      <c r="W47" s="54"/>
      <c r="X47" s="289"/>
      <c r="Y47" s="289"/>
      <c r="Z47" s="54"/>
      <c r="AA47" s="54">
        <f>Tableau13[[#This Row],[Bailleurs]]*12.5%</f>
        <v>0</v>
      </c>
      <c r="AB47" s="320"/>
      <c r="AC47" s="320"/>
      <c r="AD47" s="334"/>
      <c r="AE47" s="334"/>
      <c r="AF47" s="334"/>
      <c r="AG47" s="334"/>
      <c r="AH47" s="334"/>
      <c r="AI47" s="273"/>
      <c r="AJ47" s="54"/>
      <c r="AK47" s="273"/>
      <c r="AL47" s="54"/>
      <c r="AM47" s="53"/>
      <c r="AN47" s="54">
        <v>0</v>
      </c>
      <c r="AO47" s="53"/>
      <c r="AP47" s="54">
        <v>0</v>
      </c>
      <c r="AQ47" s="53"/>
      <c r="AR47" s="54">
        <v>0</v>
      </c>
      <c r="AS47" s="53"/>
      <c r="AT47" s="54">
        <v>0</v>
      </c>
      <c r="AU47" s="53"/>
      <c r="AV47" s="56">
        <v>0</v>
      </c>
      <c r="AW47" s="53"/>
      <c r="AX47" s="57">
        <v>42370</v>
      </c>
      <c r="AY47" s="29">
        <v>3</v>
      </c>
      <c r="AZ47" s="34">
        <f>Tableau13[[#This Row],[Bailleurs]]-SUM(Tableau13[[#This Row],[LOGIREP]:[France Habitation]])</f>
        <v>0</v>
      </c>
      <c r="BA47" s="34">
        <f>Tableau13[[#This Row],[Base de financement]]-Tableau13[[#This Row],[Subvention ANRU]]-Tableau13[[#This Row],[Ville]]-Tableau13[[#This Row],[Plaine Commune]]-Tableau13[[#This Row],[Bailleurs]]-Tableau13[[#This Row],[CDC]]-Tableau13[[#This Row],[Autres]]</f>
        <v>0</v>
      </c>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5"/>
      <c r="EH47" s="35"/>
      <c r="EI47" s="35"/>
      <c r="EJ47" s="35"/>
      <c r="EK47" s="35"/>
      <c r="EL47" s="35"/>
      <c r="EM47" s="35"/>
      <c r="EN47" s="35"/>
      <c r="EO47" s="35"/>
      <c r="EP47" s="35"/>
      <c r="EQ47" s="35"/>
      <c r="ER47" s="35"/>
      <c r="ES47" s="35"/>
      <c r="ET47" s="35"/>
    </row>
    <row r="48" spans="1:150" s="36" customFormat="1" ht="60" customHeight="1" x14ac:dyDescent="0.25">
      <c r="A48" s="21" t="s">
        <v>812</v>
      </c>
      <c r="B48" s="22" t="s">
        <v>861</v>
      </c>
      <c r="C48" s="59" t="s">
        <v>872</v>
      </c>
      <c r="D48" s="63" t="s">
        <v>863</v>
      </c>
      <c r="E48" s="490"/>
      <c r="F48" s="490"/>
      <c r="G48" s="490"/>
      <c r="H48" s="29" t="s">
        <v>827</v>
      </c>
      <c r="I48" s="24" t="s">
        <v>799</v>
      </c>
      <c r="J48" s="36" t="s">
        <v>831</v>
      </c>
      <c r="K48" s="62">
        <v>10000</v>
      </c>
      <c r="L48" s="53">
        <v>0.2</v>
      </c>
      <c r="M48" s="31">
        <f>K48*(1+L48)</f>
        <v>12000</v>
      </c>
      <c r="N48" s="63">
        <v>10000</v>
      </c>
      <c r="O48" s="54">
        <f>N48*P48</f>
        <v>5000</v>
      </c>
      <c r="P48" s="41">
        <v>0.5</v>
      </c>
      <c r="Q48" s="63"/>
      <c r="R48" s="63"/>
      <c r="S48" s="41"/>
      <c r="T48" s="109">
        <v>5000</v>
      </c>
      <c r="U48" s="71">
        <v>0.5</v>
      </c>
      <c r="V48" s="63">
        <v>0</v>
      </c>
      <c r="W48" s="62"/>
      <c r="X48" s="312"/>
      <c r="Y48" s="312"/>
      <c r="Z48" s="62"/>
      <c r="AA48" s="62">
        <f>Tableau13[[#This Row],[Bailleurs]]*12.5%</f>
        <v>0</v>
      </c>
      <c r="AB48" s="323"/>
      <c r="AC48" s="323"/>
      <c r="AD48" s="337"/>
      <c r="AE48" s="337"/>
      <c r="AF48" s="337"/>
      <c r="AG48" s="337"/>
      <c r="AH48" s="337"/>
      <c r="AI48" s="282"/>
      <c r="AJ48" s="63"/>
      <c r="AK48" s="274"/>
      <c r="AL48" s="63"/>
      <c r="AM48" s="63"/>
      <c r="AN48" s="63"/>
      <c r="AO48" s="63"/>
      <c r="AP48" s="63"/>
      <c r="AQ48" s="63"/>
      <c r="AR48" s="63"/>
      <c r="AS48" s="63"/>
      <c r="AT48" s="63"/>
      <c r="AU48" s="63"/>
      <c r="AV48" s="63"/>
      <c r="AW48" s="63"/>
      <c r="AX48" s="63"/>
      <c r="AY48" s="63"/>
      <c r="AZ48" s="34">
        <f>Tableau13[[#This Row],[Bailleurs]]-SUM(Tableau13[[#This Row],[LOGIREP]:[France Habitation]])</f>
        <v>0</v>
      </c>
      <c r="BA48" s="34">
        <f>Tableau13[[#This Row],[Base de financement]]-Tableau13[[#This Row],[Subvention ANRU]]-Tableau13[[#This Row],[Ville]]-Tableau13[[#This Row],[Plaine Commune]]-Tableau13[[#This Row],[Bailleurs]]-Tableau13[[#This Row],[CDC]]-Tableau13[[#This Row],[Autres]]</f>
        <v>0</v>
      </c>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5"/>
      <c r="EH48" s="35"/>
      <c r="EI48" s="35"/>
      <c r="EJ48" s="35"/>
      <c r="EK48" s="35"/>
      <c r="EL48" s="35"/>
      <c r="EM48" s="35"/>
      <c r="EN48" s="35"/>
      <c r="EO48" s="35"/>
      <c r="EP48" s="35"/>
      <c r="EQ48" s="35"/>
      <c r="ER48" s="35"/>
      <c r="ES48" s="35"/>
      <c r="ET48" s="35"/>
    </row>
    <row r="49" spans="1:150" s="36" customFormat="1" ht="60" customHeight="1" x14ac:dyDescent="0.25">
      <c r="A49" s="21" t="s">
        <v>163</v>
      </c>
      <c r="B49" s="22" t="s">
        <v>861</v>
      </c>
      <c r="C49" s="59" t="s">
        <v>873</v>
      </c>
      <c r="D49" s="69" t="s">
        <v>874</v>
      </c>
      <c r="E49" s="481"/>
      <c r="F49" s="481"/>
      <c r="G49" s="481"/>
      <c r="H49" s="29" t="s">
        <v>827</v>
      </c>
      <c r="I49" s="24" t="s">
        <v>799</v>
      </c>
      <c r="J49" s="36" t="s">
        <v>831</v>
      </c>
      <c r="K49" s="52">
        <v>5000</v>
      </c>
      <c r="L49" s="53">
        <v>0.2</v>
      </c>
      <c r="M49" s="70">
        <v>6000</v>
      </c>
      <c r="N49" s="52">
        <v>5000</v>
      </c>
      <c r="O49" s="110">
        <v>2500</v>
      </c>
      <c r="P49" s="71">
        <v>0.5</v>
      </c>
      <c r="Q49" s="74"/>
      <c r="R49" s="54">
        <v>0</v>
      </c>
      <c r="S49" s="71"/>
      <c r="T49" s="55">
        <v>2500</v>
      </c>
      <c r="U49" s="71">
        <v>0.5</v>
      </c>
      <c r="V49" s="54">
        <v>0</v>
      </c>
      <c r="W49" s="54"/>
      <c r="X49" s="289"/>
      <c r="Y49" s="289"/>
      <c r="Z49" s="54"/>
      <c r="AA49" s="54">
        <f>Tableau13[[#This Row],[Bailleurs]]*12.5%</f>
        <v>0</v>
      </c>
      <c r="AB49" s="320"/>
      <c r="AC49" s="320"/>
      <c r="AD49" s="334"/>
      <c r="AE49" s="334"/>
      <c r="AF49" s="334"/>
      <c r="AG49" s="334"/>
      <c r="AH49" s="334"/>
      <c r="AI49" s="273"/>
      <c r="AJ49" s="54"/>
      <c r="AK49" s="273"/>
      <c r="AL49" s="54"/>
      <c r="AM49" s="71"/>
      <c r="AN49" s="54">
        <v>0</v>
      </c>
      <c r="AO49" s="71"/>
      <c r="AP49" s="54">
        <v>0</v>
      </c>
      <c r="AQ49" s="71"/>
      <c r="AR49" s="54">
        <v>0</v>
      </c>
      <c r="AS49" s="71"/>
      <c r="AT49" s="54">
        <v>0</v>
      </c>
      <c r="AU49" s="71"/>
      <c r="AV49" s="72">
        <v>0</v>
      </c>
      <c r="AW49" s="71"/>
      <c r="AX49" s="73"/>
      <c r="AY49" s="74"/>
      <c r="AZ49" s="34">
        <f>Tableau13[[#This Row],[Bailleurs]]-SUM(Tableau13[[#This Row],[LOGIREP]:[France Habitation]])</f>
        <v>0</v>
      </c>
      <c r="BA49" s="34">
        <f>Tableau13[[#This Row],[Base de financement]]-Tableau13[[#This Row],[Subvention ANRU]]-Tableau13[[#This Row],[Ville]]-Tableau13[[#This Row],[Plaine Commune]]-Tableau13[[#This Row],[Bailleurs]]-Tableau13[[#This Row],[CDC]]-Tableau13[[#This Row],[Autres]]</f>
        <v>0</v>
      </c>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5"/>
      <c r="EH49" s="35"/>
      <c r="EI49" s="35"/>
      <c r="EJ49" s="35"/>
      <c r="EK49" s="35"/>
      <c r="EL49" s="35"/>
      <c r="EM49" s="35"/>
      <c r="EN49" s="35"/>
      <c r="EO49" s="35"/>
      <c r="EP49" s="35"/>
      <c r="EQ49" s="35"/>
      <c r="ER49" s="35"/>
      <c r="ES49" s="35"/>
      <c r="ET49" s="35"/>
    </row>
    <row r="50" spans="1:150" s="36" customFormat="1" ht="60" customHeight="1" x14ac:dyDescent="0.25">
      <c r="A50" s="21" t="s">
        <v>163</v>
      </c>
      <c r="B50" s="22" t="s">
        <v>861</v>
      </c>
      <c r="C50" s="59" t="s">
        <v>875</v>
      </c>
      <c r="D50" s="111" t="s">
        <v>876</v>
      </c>
      <c r="E50" s="491"/>
      <c r="F50" s="491"/>
      <c r="G50" s="491"/>
      <c r="H50" s="112" t="s">
        <v>827</v>
      </c>
      <c r="I50" s="24" t="s">
        <v>799</v>
      </c>
      <c r="J50" s="36" t="s">
        <v>831</v>
      </c>
      <c r="K50" s="113">
        <v>42000</v>
      </c>
      <c r="L50" s="114">
        <v>0.2</v>
      </c>
      <c r="M50" s="115">
        <v>50400</v>
      </c>
      <c r="N50" s="113">
        <v>42000</v>
      </c>
      <c r="O50" s="110">
        <f>Tableau13[[#This Row],[Taux de subvention ANRU]]*Tableau13[[#This Row],[Base de financement]]</f>
        <v>21000</v>
      </c>
      <c r="P50" s="114">
        <v>0.5</v>
      </c>
      <c r="Q50" s="29"/>
      <c r="R50" s="54">
        <v>0</v>
      </c>
      <c r="S50" s="53"/>
      <c r="T50" s="55">
        <v>21000</v>
      </c>
      <c r="U50" s="53">
        <v>0.5</v>
      </c>
      <c r="V50" s="54">
        <v>0</v>
      </c>
      <c r="W50" s="54"/>
      <c r="X50" s="289"/>
      <c r="Y50" s="289"/>
      <c r="Z50" s="54"/>
      <c r="AA50" s="54">
        <f>Tableau13[[#This Row],[Bailleurs]]*12.5%</f>
        <v>0</v>
      </c>
      <c r="AB50" s="320"/>
      <c r="AC50" s="320"/>
      <c r="AD50" s="334"/>
      <c r="AE50" s="334"/>
      <c r="AF50" s="334"/>
      <c r="AG50" s="334"/>
      <c r="AH50" s="334"/>
      <c r="AI50" s="273"/>
      <c r="AJ50" s="54"/>
      <c r="AK50" s="273"/>
      <c r="AL50" s="54"/>
      <c r="AM50" s="53"/>
      <c r="AN50" s="54">
        <v>0</v>
      </c>
      <c r="AO50" s="53"/>
      <c r="AP50" s="54">
        <v>0</v>
      </c>
      <c r="AQ50" s="53"/>
      <c r="AR50" s="54">
        <v>0</v>
      </c>
      <c r="AS50" s="53"/>
      <c r="AT50" s="54">
        <v>0</v>
      </c>
      <c r="AU50" s="53"/>
      <c r="AV50" s="56">
        <v>0</v>
      </c>
      <c r="AW50" s="53"/>
      <c r="AX50" s="57">
        <v>42370</v>
      </c>
      <c r="AY50" s="29">
        <v>6</v>
      </c>
      <c r="AZ50" s="34">
        <f>Tableau13[[#This Row],[Bailleurs]]-SUM(Tableau13[[#This Row],[LOGIREP]:[France Habitation]])</f>
        <v>0</v>
      </c>
      <c r="BA50" s="34">
        <f>Tableau13[[#This Row],[Base de financement]]-Tableau13[[#This Row],[Subvention ANRU]]-Tableau13[[#This Row],[Ville]]-Tableau13[[#This Row],[Plaine Commune]]-Tableau13[[#This Row],[Bailleurs]]-Tableau13[[#This Row],[CDC]]-Tableau13[[#This Row],[Autres]]</f>
        <v>0</v>
      </c>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5"/>
      <c r="EH50" s="35"/>
      <c r="EI50" s="35"/>
      <c r="EJ50" s="35"/>
      <c r="EK50" s="35"/>
      <c r="EL50" s="35"/>
      <c r="EM50" s="35"/>
      <c r="EN50" s="35"/>
      <c r="EO50" s="35"/>
      <c r="EP50" s="35"/>
      <c r="EQ50" s="35"/>
      <c r="ER50" s="35"/>
      <c r="ES50" s="35"/>
      <c r="ET50" s="35"/>
    </row>
    <row r="51" spans="1:150" s="36" customFormat="1" ht="60" customHeight="1" x14ac:dyDescent="0.25">
      <c r="A51" s="21" t="s">
        <v>33</v>
      </c>
      <c r="B51" s="22" t="s">
        <v>861</v>
      </c>
      <c r="C51" s="59" t="s">
        <v>877</v>
      </c>
      <c r="D51" s="29" t="s">
        <v>878</v>
      </c>
      <c r="E51" s="485"/>
      <c r="F51" s="485">
        <v>100</v>
      </c>
      <c r="G51" s="485"/>
      <c r="H51" s="29" t="s">
        <v>827</v>
      </c>
      <c r="I51" s="24" t="s">
        <v>799</v>
      </c>
      <c r="J51" s="36" t="s">
        <v>831</v>
      </c>
      <c r="K51" s="52">
        <v>10000</v>
      </c>
      <c r="L51" s="53">
        <v>0.2</v>
      </c>
      <c r="M51" s="54">
        <v>12000</v>
      </c>
      <c r="N51" s="105">
        <v>10000</v>
      </c>
      <c r="O51" s="54">
        <v>5000</v>
      </c>
      <c r="P51" s="71">
        <v>0.5</v>
      </c>
      <c r="Q51" s="74"/>
      <c r="R51" s="54">
        <v>0</v>
      </c>
      <c r="S51" s="71"/>
      <c r="T51" s="55">
        <v>5000</v>
      </c>
      <c r="U51" s="71">
        <v>0.5</v>
      </c>
      <c r="V51" s="54">
        <v>0</v>
      </c>
      <c r="W51" s="54"/>
      <c r="X51" s="289"/>
      <c r="Y51" s="289"/>
      <c r="Z51" s="54"/>
      <c r="AA51" s="54">
        <f>Tableau13[[#This Row],[Bailleurs]]*12.5%</f>
        <v>0</v>
      </c>
      <c r="AB51" s="320"/>
      <c r="AC51" s="320"/>
      <c r="AD51" s="334"/>
      <c r="AE51" s="334"/>
      <c r="AF51" s="334"/>
      <c r="AG51" s="334"/>
      <c r="AH51" s="334"/>
      <c r="AI51" s="273"/>
      <c r="AJ51" s="54"/>
      <c r="AK51" s="273"/>
      <c r="AL51" s="54"/>
      <c r="AM51" s="71"/>
      <c r="AN51" s="54">
        <v>0</v>
      </c>
      <c r="AO51" s="71"/>
      <c r="AP51" s="54">
        <v>0</v>
      </c>
      <c r="AQ51" s="71"/>
      <c r="AR51" s="54">
        <v>0</v>
      </c>
      <c r="AS51" s="71"/>
      <c r="AT51" s="54">
        <v>0</v>
      </c>
      <c r="AU51" s="71"/>
      <c r="AV51" s="56">
        <v>0</v>
      </c>
      <c r="AW51" s="71"/>
      <c r="AX51" s="73"/>
      <c r="AY51" s="88"/>
      <c r="AZ51" s="186">
        <f>Tableau13[[#This Row],[Bailleurs]]-SUM(Tableau13[[#This Row],[LOGIREP]:[France Habitation]])</f>
        <v>0</v>
      </c>
      <c r="BA51" s="34">
        <f>Tableau13[[#This Row],[Base de financement]]-Tableau13[[#This Row],[Subvention ANRU]]-Tableau13[[#This Row],[Ville]]-Tableau13[[#This Row],[Plaine Commune]]-Tableau13[[#This Row],[Bailleurs]]-Tableau13[[#This Row],[CDC]]-Tableau13[[#This Row],[Autres]]</f>
        <v>0</v>
      </c>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5"/>
      <c r="EH51" s="35"/>
      <c r="EI51" s="35"/>
      <c r="EJ51" s="35"/>
      <c r="EK51" s="35"/>
      <c r="EL51" s="35"/>
      <c r="EM51" s="35"/>
      <c r="EN51" s="35"/>
      <c r="EO51" s="35"/>
      <c r="EP51" s="35"/>
      <c r="EQ51" s="35"/>
      <c r="ER51" s="35"/>
      <c r="ES51" s="35"/>
      <c r="ET51" s="35"/>
    </row>
    <row r="52" spans="1:150" s="36" customFormat="1" ht="60" customHeight="1" x14ac:dyDescent="0.25">
      <c r="A52" s="21" t="s">
        <v>163</v>
      </c>
      <c r="B52" s="22" t="s">
        <v>879</v>
      </c>
      <c r="C52" s="59" t="s">
        <v>882</v>
      </c>
      <c r="D52" s="69" t="s">
        <v>883</v>
      </c>
      <c r="E52" s="481"/>
      <c r="F52" s="481"/>
      <c r="G52" s="481"/>
      <c r="H52" s="29" t="s">
        <v>827</v>
      </c>
      <c r="I52" s="24" t="s">
        <v>799</v>
      </c>
      <c r="J52" s="36" t="s">
        <v>831</v>
      </c>
      <c r="K52" s="267">
        <v>12000</v>
      </c>
      <c r="L52" s="53">
        <v>0.2</v>
      </c>
      <c r="M52" s="70">
        <v>14400</v>
      </c>
      <c r="N52" s="52">
        <v>12000</v>
      </c>
      <c r="O52" s="110">
        <v>6000</v>
      </c>
      <c r="P52" s="71">
        <v>0.5</v>
      </c>
      <c r="Q52" s="74"/>
      <c r="R52" s="54">
        <v>0</v>
      </c>
      <c r="S52" s="71"/>
      <c r="T52" s="55">
        <v>6000</v>
      </c>
      <c r="U52" s="71">
        <v>0.5</v>
      </c>
      <c r="V52" s="40">
        <v>0</v>
      </c>
      <c r="W52" s="54"/>
      <c r="X52" s="289"/>
      <c r="Y52" s="289"/>
      <c r="Z52" s="54"/>
      <c r="AA52" s="54"/>
      <c r="AB52" s="320"/>
      <c r="AC52" s="320"/>
      <c r="AD52" s="334"/>
      <c r="AE52" s="334"/>
      <c r="AF52" s="334"/>
      <c r="AG52" s="334"/>
      <c r="AH52" s="334"/>
      <c r="AI52" s="273"/>
      <c r="AJ52" s="54"/>
      <c r="AK52" s="273"/>
      <c r="AL52" s="54"/>
      <c r="AM52" s="71">
        <v>0.25</v>
      </c>
      <c r="AN52" s="54">
        <v>0</v>
      </c>
      <c r="AO52" s="71"/>
      <c r="AP52" s="54">
        <v>0</v>
      </c>
      <c r="AQ52" s="71"/>
      <c r="AR52" s="54">
        <v>0</v>
      </c>
      <c r="AS52" s="71"/>
      <c r="AT52" s="54">
        <v>0</v>
      </c>
      <c r="AU52" s="71"/>
      <c r="AV52" s="72">
        <v>0</v>
      </c>
      <c r="AW52" s="71"/>
      <c r="AX52" s="73"/>
      <c r="AY52" s="74"/>
      <c r="AZ52" s="34">
        <f>Tableau13[[#This Row],[Bailleurs]]-SUM(Tableau13[[#This Row],[LOGIREP]:[France Habitation]])</f>
        <v>0</v>
      </c>
      <c r="BA52" s="34">
        <f>Tableau13[[#This Row],[Base de financement]]-Tableau13[[#This Row],[Subvention ANRU]]-Tableau13[[#This Row],[Ville]]-Tableau13[[#This Row],[Plaine Commune]]-Tableau13[[#This Row],[Bailleurs]]-Tableau13[[#This Row],[CDC]]-Tableau13[[#This Row],[Autres]]</f>
        <v>0</v>
      </c>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5"/>
      <c r="EH52" s="35"/>
      <c r="EI52" s="35"/>
      <c r="EJ52" s="35"/>
      <c r="EK52" s="35"/>
      <c r="EL52" s="35"/>
      <c r="EM52" s="35"/>
      <c r="EN52" s="35"/>
      <c r="EO52" s="35"/>
      <c r="EP52" s="35"/>
      <c r="EQ52" s="35"/>
      <c r="ER52" s="35"/>
      <c r="ES52" s="35"/>
      <c r="ET52" s="35"/>
    </row>
    <row r="53" spans="1:150" s="36" customFormat="1" ht="60" customHeight="1" x14ac:dyDescent="0.25">
      <c r="A53" s="21" t="s">
        <v>418</v>
      </c>
      <c r="B53" s="22" t="s">
        <v>879</v>
      </c>
      <c r="C53" s="59" t="s">
        <v>880</v>
      </c>
      <c r="D53" s="66" t="s">
        <v>881</v>
      </c>
      <c r="E53" s="492"/>
      <c r="F53" s="492"/>
      <c r="G53" s="492"/>
      <c r="H53" s="66" t="s">
        <v>827</v>
      </c>
      <c r="I53" s="24" t="s">
        <v>799</v>
      </c>
      <c r="J53" s="36" t="s">
        <v>831</v>
      </c>
      <c r="K53" s="52">
        <v>50000</v>
      </c>
      <c r="L53" s="53">
        <v>0.2</v>
      </c>
      <c r="M53" s="54">
        <v>60000</v>
      </c>
      <c r="N53" s="54">
        <v>50000</v>
      </c>
      <c r="O53" s="54">
        <v>25000</v>
      </c>
      <c r="P53" s="53">
        <v>0.5</v>
      </c>
      <c r="Q53" s="29"/>
      <c r="R53" s="54">
        <v>0</v>
      </c>
      <c r="S53" s="53"/>
      <c r="T53" s="55">
        <v>25000</v>
      </c>
      <c r="U53" s="53">
        <v>0.5</v>
      </c>
      <c r="V53" s="54">
        <v>0</v>
      </c>
      <c r="W53" s="54"/>
      <c r="X53" s="289"/>
      <c r="Y53" s="289"/>
      <c r="Z53" s="54"/>
      <c r="AA53" s="54">
        <f>Tableau13[[#This Row],[Bailleurs]]*12.5%</f>
        <v>0</v>
      </c>
      <c r="AB53" s="320"/>
      <c r="AC53" s="320"/>
      <c r="AD53" s="334"/>
      <c r="AE53" s="334"/>
      <c r="AF53" s="334"/>
      <c r="AG53" s="334"/>
      <c r="AH53" s="334"/>
      <c r="AI53" s="273"/>
      <c r="AJ53" s="54"/>
      <c r="AK53" s="273"/>
      <c r="AL53" s="54"/>
      <c r="AM53" s="53"/>
      <c r="AN53" s="54">
        <v>0</v>
      </c>
      <c r="AO53" s="53"/>
      <c r="AP53" s="54">
        <v>0</v>
      </c>
      <c r="AQ53" s="53"/>
      <c r="AR53" s="54">
        <v>0</v>
      </c>
      <c r="AS53" s="53"/>
      <c r="AT53" s="54">
        <v>0</v>
      </c>
      <c r="AU53" s="53"/>
      <c r="AV53" s="56">
        <v>0</v>
      </c>
      <c r="AW53" s="53"/>
      <c r="AX53" s="57">
        <v>42614</v>
      </c>
      <c r="AY53" s="29">
        <v>4</v>
      </c>
      <c r="AZ53" s="34">
        <f>Tableau13[[#This Row],[Bailleurs]]-SUM(Tableau13[[#This Row],[LOGIREP]:[France Habitation]])</f>
        <v>0</v>
      </c>
      <c r="BA53" s="34">
        <f>Tableau13[[#This Row],[Base de financement]]-Tableau13[[#This Row],[Subvention ANRU]]-Tableau13[[#This Row],[Ville]]-Tableau13[[#This Row],[Plaine Commune]]-Tableau13[[#This Row],[Bailleurs]]-Tableau13[[#This Row],[CDC]]-Tableau13[[#This Row],[Autres]]</f>
        <v>0</v>
      </c>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5"/>
      <c r="EH53" s="35"/>
      <c r="EI53" s="35"/>
      <c r="EJ53" s="35"/>
      <c r="EK53" s="35"/>
      <c r="EL53" s="35"/>
      <c r="EM53" s="35"/>
      <c r="EN53" s="35"/>
      <c r="EO53" s="35"/>
      <c r="EP53" s="35"/>
      <c r="EQ53" s="35"/>
      <c r="ER53" s="35"/>
      <c r="ES53" s="35"/>
      <c r="ET53" s="35"/>
    </row>
    <row r="54" spans="1:150" s="36" customFormat="1" ht="60" customHeight="1" x14ac:dyDescent="0.25">
      <c r="A54" s="88" t="s">
        <v>812</v>
      </c>
      <c r="B54" s="74" t="s">
        <v>879</v>
      </c>
      <c r="C54" s="93" t="s">
        <v>254</v>
      </c>
      <c r="D54" s="29" t="s">
        <v>884</v>
      </c>
      <c r="E54" s="485"/>
      <c r="F54" s="485"/>
      <c r="G54" s="485"/>
      <c r="H54" s="29" t="s">
        <v>827</v>
      </c>
      <c r="I54" s="24" t="s">
        <v>799</v>
      </c>
      <c r="J54" s="36" t="s">
        <v>831</v>
      </c>
      <c r="K54" s="116">
        <v>60000</v>
      </c>
      <c r="L54" s="53">
        <v>0.2</v>
      </c>
      <c r="M54" s="70">
        <v>72000</v>
      </c>
      <c r="N54" s="54">
        <v>60000</v>
      </c>
      <c r="O54" s="54">
        <v>30000</v>
      </c>
      <c r="P54" s="53">
        <v>0.5</v>
      </c>
      <c r="Q54" s="29"/>
      <c r="R54" s="54"/>
      <c r="S54" s="53"/>
      <c r="T54" s="55">
        <v>30000</v>
      </c>
      <c r="U54" s="53">
        <v>0.5</v>
      </c>
      <c r="V54" s="54">
        <v>0</v>
      </c>
      <c r="W54" s="54"/>
      <c r="X54" s="289"/>
      <c r="Y54" s="289"/>
      <c r="Z54" s="54"/>
      <c r="AA54" s="54">
        <f>Tableau13[[#This Row],[Bailleurs]]*12.5%</f>
        <v>0</v>
      </c>
      <c r="AB54" s="320"/>
      <c r="AC54" s="320"/>
      <c r="AD54" s="334"/>
      <c r="AE54" s="334"/>
      <c r="AF54" s="334"/>
      <c r="AG54" s="334"/>
      <c r="AH54" s="334"/>
      <c r="AI54" s="273"/>
      <c r="AJ54" s="54"/>
      <c r="AK54" s="273"/>
      <c r="AL54" s="54"/>
      <c r="AM54" s="53"/>
      <c r="AN54" s="54"/>
      <c r="AO54" s="53"/>
      <c r="AP54" s="54"/>
      <c r="AQ54" s="53"/>
      <c r="AR54" s="54"/>
      <c r="AS54" s="53"/>
      <c r="AT54" s="54"/>
      <c r="AU54" s="53"/>
      <c r="AV54" s="53"/>
      <c r="AW54" s="53"/>
      <c r="AX54" s="57"/>
      <c r="AY54" s="29"/>
      <c r="AZ54" s="186">
        <f>Tableau13[[#This Row],[Bailleurs]]-SUM(Tableau13[[#This Row],[LOGIREP]:[France Habitation]])</f>
        <v>0</v>
      </c>
      <c r="BA54" s="34">
        <f>Tableau13[[#This Row],[Base de financement]]-Tableau13[[#This Row],[Subvention ANRU]]-Tableau13[[#This Row],[Ville]]-Tableau13[[#This Row],[Plaine Commune]]-Tableau13[[#This Row],[Bailleurs]]-Tableau13[[#This Row],[CDC]]-Tableau13[[#This Row],[Autres]]</f>
        <v>0</v>
      </c>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5"/>
      <c r="EH54" s="35"/>
      <c r="EI54" s="35"/>
      <c r="EJ54" s="35"/>
      <c r="EK54" s="35"/>
      <c r="EL54" s="35"/>
      <c r="EM54" s="35"/>
      <c r="EN54" s="35"/>
      <c r="EO54" s="35"/>
      <c r="EP54" s="35"/>
      <c r="EQ54" s="35"/>
      <c r="ER54" s="35"/>
      <c r="ES54" s="35"/>
      <c r="ET54" s="35"/>
    </row>
    <row r="55" spans="1:150" s="36" customFormat="1" ht="60" customHeight="1" x14ac:dyDescent="0.25">
      <c r="A55" s="88" t="s">
        <v>33</v>
      </c>
      <c r="B55" s="74" t="s">
        <v>879</v>
      </c>
      <c r="C55" s="93" t="s">
        <v>885</v>
      </c>
      <c r="D55" s="29" t="s">
        <v>886</v>
      </c>
      <c r="E55" s="485"/>
      <c r="F55" s="485">
        <v>100</v>
      </c>
      <c r="G55" s="485"/>
      <c r="H55" s="29" t="s">
        <v>53</v>
      </c>
      <c r="I55" s="24" t="s">
        <v>799</v>
      </c>
      <c r="J55" s="36" t="s">
        <v>831</v>
      </c>
      <c r="K55" s="52">
        <v>20000</v>
      </c>
      <c r="L55" s="53">
        <v>0.2</v>
      </c>
      <c r="M55" s="70">
        <v>24000</v>
      </c>
      <c r="N55" s="54">
        <v>20000</v>
      </c>
      <c r="O55" s="54">
        <v>10000</v>
      </c>
      <c r="P55" s="53">
        <v>0.5</v>
      </c>
      <c r="Q55" s="29" t="s">
        <v>887</v>
      </c>
      <c r="R55" s="54">
        <v>0</v>
      </c>
      <c r="S55" s="53"/>
      <c r="T55" s="55">
        <v>10000</v>
      </c>
      <c r="U55" s="53">
        <v>0.5</v>
      </c>
      <c r="V55" s="54">
        <v>0</v>
      </c>
      <c r="W55" s="54"/>
      <c r="X55" s="289"/>
      <c r="Y55" s="289"/>
      <c r="Z55" s="54"/>
      <c r="AA55" s="54">
        <f>Tableau13[[#This Row],[Bailleurs]]*12.5%</f>
        <v>0</v>
      </c>
      <c r="AB55" s="320"/>
      <c r="AC55" s="320"/>
      <c r="AD55" s="334"/>
      <c r="AE55" s="334"/>
      <c r="AF55" s="334"/>
      <c r="AG55" s="334"/>
      <c r="AH55" s="334"/>
      <c r="AI55" s="273"/>
      <c r="AJ55" s="54"/>
      <c r="AK55" s="273"/>
      <c r="AL55" s="54"/>
      <c r="AM55" s="53"/>
      <c r="AN55" s="54">
        <v>0</v>
      </c>
      <c r="AO55" s="53"/>
      <c r="AP55" s="54">
        <v>0</v>
      </c>
      <c r="AQ55" s="53"/>
      <c r="AR55" s="54">
        <v>0</v>
      </c>
      <c r="AS55" s="53"/>
      <c r="AT55" s="54">
        <v>0</v>
      </c>
      <c r="AU55" s="53"/>
      <c r="AV55" s="117">
        <v>0</v>
      </c>
      <c r="AW55" s="53"/>
      <c r="AX55" s="57">
        <v>42370</v>
      </c>
      <c r="AY55" s="29">
        <v>12</v>
      </c>
      <c r="AZ55" s="186">
        <f>Tableau13[[#This Row],[Bailleurs]]-SUM(Tableau13[[#This Row],[LOGIREP]:[France Habitation]])</f>
        <v>0</v>
      </c>
      <c r="BA55" s="34">
        <f>Tableau13[[#This Row],[Base de financement]]-Tableau13[[#This Row],[Subvention ANRU]]-Tableau13[[#This Row],[Ville]]-Tableau13[[#This Row],[Plaine Commune]]-Tableau13[[#This Row],[Bailleurs]]-Tableau13[[#This Row],[CDC]]-Tableau13[[#This Row],[Autres]]</f>
        <v>0</v>
      </c>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5"/>
      <c r="EH55" s="35"/>
      <c r="EI55" s="35"/>
      <c r="EJ55" s="35"/>
      <c r="EK55" s="35"/>
      <c r="EL55" s="35"/>
      <c r="EM55" s="35"/>
      <c r="EN55" s="35"/>
      <c r="EO55" s="35"/>
      <c r="EP55" s="35"/>
      <c r="EQ55" s="35"/>
      <c r="ER55" s="35"/>
      <c r="ES55" s="35"/>
      <c r="ET55" s="35"/>
    </row>
    <row r="56" spans="1:150" s="36" customFormat="1" ht="60" customHeight="1" x14ac:dyDescent="0.25">
      <c r="A56" s="21" t="s">
        <v>238</v>
      </c>
      <c r="B56" s="22" t="s">
        <v>888</v>
      </c>
      <c r="C56" s="37" t="s">
        <v>891</v>
      </c>
      <c r="D56" s="29" t="s">
        <v>892</v>
      </c>
      <c r="E56" s="485"/>
      <c r="F56" s="485"/>
      <c r="G56" s="485"/>
      <c r="H56" s="29" t="s">
        <v>827</v>
      </c>
      <c r="I56" s="24" t="s">
        <v>799</v>
      </c>
      <c r="J56" s="36" t="s">
        <v>831</v>
      </c>
      <c r="K56" s="52">
        <v>35000</v>
      </c>
      <c r="L56" s="53">
        <v>0.2</v>
      </c>
      <c r="M56" s="70">
        <f>K56*(1+L56)</f>
        <v>42000</v>
      </c>
      <c r="N56" s="54">
        <f>K56</f>
        <v>35000</v>
      </c>
      <c r="O56" s="54">
        <f>N56*P56</f>
        <v>17500</v>
      </c>
      <c r="P56" s="53">
        <v>0.5</v>
      </c>
      <c r="Q56" s="29"/>
      <c r="R56" s="54">
        <f>S56*N56</f>
        <v>0</v>
      </c>
      <c r="S56" s="53"/>
      <c r="T56" s="55">
        <f>N56*U56</f>
        <v>17500</v>
      </c>
      <c r="U56" s="53">
        <v>0.5</v>
      </c>
      <c r="V56" s="54">
        <f>N56*AM56</f>
        <v>0</v>
      </c>
      <c r="W56" s="54"/>
      <c r="X56" s="289"/>
      <c r="Y56" s="289"/>
      <c r="Z56" s="54"/>
      <c r="AA56" s="54">
        <f>Tableau13[[#This Row],[Bailleurs]]*12.5%</f>
        <v>0</v>
      </c>
      <c r="AB56" s="320"/>
      <c r="AC56" s="320"/>
      <c r="AD56" s="334"/>
      <c r="AE56" s="334"/>
      <c r="AF56" s="334"/>
      <c r="AG56" s="334"/>
      <c r="AH56" s="334"/>
      <c r="AI56" s="273"/>
      <c r="AJ56" s="54"/>
      <c r="AK56" s="273"/>
      <c r="AL56" s="54"/>
      <c r="AM56" s="53"/>
      <c r="AN56" s="54">
        <f>N56*AO56</f>
        <v>0</v>
      </c>
      <c r="AO56" s="53"/>
      <c r="AP56" s="54">
        <f>N56*AQ56</f>
        <v>0</v>
      </c>
      <c r="AQ56" s="53"/>
      <c r="AR56" s="54">
        <f>N56*AS56</f>
        <v>0</v>
      </c>
      <c r="AS56" s="53"/>
      <c r="AT56" s="54">
        <f>N56*AU56</f>
        <v>0</v>
      </c>
      <c r="AU56" s="53"/>
      <c r="AV56" s="56">
        <f>N56*AW56</f>
        <v>0</v>
      </c>
      <c r="AW56" s="53"/>
      <c r="AX56" s="57">
        <v>42491</v>
      </c>
      <c r="AY56" s="29">
        <v>6</v>
      </c>
      <c r="AZ56" s="34">
        <f>Tableau13[[#This Row],[Bailleurs]]-SUM(Tableau13[[#This Row],[LOGIREP]:[France Habitation]])</f>
        <v>0</v>
      </c>
      <c r="BA56" s="34">
        <f>Tableau13[[#This Row],[Base de financement]]-Tableau13[[#This Row],[Subvention ANRU]]-Tableau13[[#This Row],[Ville]]-Tableau13[[#This Row],[Plaine Commune]]-Tableau13[[#This Row],[Bailleurs]]-Tableau13[[#This Row],[CDC]]-Tableau13[[#This Row],[Autres]]</f>
        <v>0</v>
      </c>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5"/>
      <c r="EH56" s="35"/>
      <c r="EI56" s="35"/>
      <c r="EJ56" s="35"/>
      <c r="EK56" s="35"/>
      <c r="EL56" s="35"/>
      <c r="EM56" s="35"/>
      <c r="EN56" s="35"/>
      <c r="EO56" s="35"/>
      <c r="EP56" s="35"/>
      <c r="EQ56" s="35"/>
      <c r="ER56" s="35"/>
      <c r="ES56" s="35"/>
      <c r="ET56" s="35"/>
    </row>
    <row r="57" spans="1:150" s="36" customFormat="1" ht="60" customHeight="1" x14ac:dyDescent="0.25">
      <c r="A57" s="21" t="s">
        <v>655</v>
      </c>
      <c r="B57" s="22" t="s">
        <v>888</v>
      </c>
      <c r="C57" s="23" t="s">
        <v>889</v>
      </c>
      <c r="D57" s="24" t="s">
        <v>890</v>
      </c>
      <c r="E57" s="488"/>
      <c r="F57" s="488"/>
      <c r="G57" s="488"/>
      <c r="H57" s="24" t="s">
        <v>827</v>
      </c>
      <c r="I57" s="24" t="s">
        <v>799</v>
      </c>
      <c r="J57" s="36" t="s">
        <v>831</v>
      </c>
      <c r="K57" s="25">
        <v>70000</v>
      </c>
      <c r="L57" s="26">
        <v>0.2</v>
      </c>
      <c r="M57" s="25">
        <f>K57*(1+L57)</f>
        <v>84000</v>
      </c>
      <c r="N57" s="27">
        <f>K57</f>
        <v>70000</v>
      </c>
      <c r="O57" s="27">
        <f>N57*P57</f>
        <v>35000</v>
      </c>
      <c r="P57" s="28">
        <v>0.5</v>
      </c>
      <c r="Q57" s="24"/>
      <c r="R57" s="27"/>
      <c r="S57" s="24"/>
      <c r="T57" s="89">
        <f>N57*U57</f>
        <v>35000</v>
      </c>
      <c r="U57" s="28">
        <v>0.5</v>
      </c>
      <c r="V57" s="27">
        <v>0</v>
      </c>
      <c r="W57" s="27"/>
      <c r="X57" s="286"/>
      <c r="Y57" s="286"/>
      <c r="Z57" s="27"/>
      <c r="AA57" s="27">
        <f>Tableau13[[#This Row],[Bailleurs]]*12.5%</f>
        <v>0</v>
      </c>
      <c r="AB57" s="318"/>
      <c r="AC57" s="318"/>
      <c r="AD57" s="332"/>
      <c r="AE57" s="332"/>
      <c r="AF57" s="332"/>
      <c r="AG57" s="332"/>
      <c r="AH57" s="332"/>
      <c r="AI57" s="256"/>
      <c r="AJ57" s="27"/>
      <c r="AK57" s="256"/>
      <c r="AL57" s="27"/>
      <c r="AM57" s="28"/>
      <c r="AN57" s="27"/>
      <c r="AO57" s="28"/>
      <c r="AP57" s="27"/>
      <c r="AQ57" s="28"/>
      <c r="AR57" s="27"/>
      <c r="AS57" s="28"/>
      <c r="AT57" s="27"/>
      <c r="AU57" s="28"/>
      <c r="AV57" s="28"/>
      <c r="AW57" s="28"/>
      <c r="AX57" s="33">
        <v>42370</v>
      </c>
      <c r="AY57" s="24">
        <v>10</v>
      </c>
      <c r="AZ57" s="34">
        <f>Tableau13[[#This Row],[Bailleurs]]-SUM(Tableau13[[#This Row],[LOGIREP]:[France Habitation]])</f>
        <v>0</v>
      </c>
      <c r="BA57" s="34">
        <f>Tableau13[[#This Row],[Base de financement]]-Tableau13[[#This Row],[Subvention ANRU]]-Tableau13[[#This Row],[Ville]]-Tableau13[[#This Row],[Plaine Commune]]-Tableau13[[#This Row],[Bailleurs]]-Tableau13[[#This Row],[CDC]]-Tableau13[[#This Row],[Autres]]</f>
        <v>0</v>
      </c>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5"/>
      <c r="EH57" s="35"/>
      <c r="EI57" s="35"/>
      <c r="EJ57" s="35"/>
      <c r="EK57" s="35"/>
      <c r="EL57" s="35"/>
      <c r="EM57" s="35"/>
      <c r="EN57" s="35"/>
      <c r="EO57" s="35"/>
      <c r="EP57" s="35"/>
      <c r="EQ57" s="35"/>
      <c r="ER57" s="35"/>
      <c r="ES57" s="35"/>
      <c r="ET57" s="35"/>
    </row>
    <row r="58" spans="1:150" s="36" customFormat="1" ht="60" customHeight="1" x14ac:dyDescent="0.25">
      <c r="A58" s="21" t="s">
        <v>238</v>
      </c>
      <c r="B58" s="22" t="s">
        <v>888</v>
      </c>
      <c r="C58" s="37" t="s">
        <v>893</v>
      </c>
      <c r="D58" s="29" t="s">
        <v>894</v>
      </c>
      <c r="E58" s="485"/>
      <c r="F58" s="485"/>
      <c r="G58" s="485"/>
      <c r="H58" s="29" t="s">
        <v>827</v>
      </c>
      <c r="I58" s="24" t="s">
        <v>799</v>
      </c>
      <c r="J58" s="36" t="s">
        <v>831</v>
      </c>
      <c r="K58" s="52">
        <v>116000</v>
      </c>
      <c r="L58" s="53">
        <v>0.2</v>
      </c>
      <c r="M58" s="70">
        <v>139200</v>
      </c>
      <c r="N58" s="54">
        <v>116000</v>
      </c>
      <c r="O58" s="54">
        <v>58000</v>
      </c>
      <c r="P58" s="53">
        <v>0.5</v>
      </c>
      <c r="Q58" s="29"/>
      <c r="R58" s="54">
        <v>0</v>
      </c>
      <c r="S58" s="53"/>
      <c r="T58" s="55">
        <v>58000</v>
      </c>
      <c r="U58" s="53">
        <v>0.5</v>
      </c>
      <c r="V58" s="54">
        <v>0</v>
      </c>
      <c r="W58" s="54"/>
      <c r="X58" s="289"/>
      <c r="Y58" s="289"/>
      <c r="Z58" s="54"/>
      <c r="AA58" s="54">
        <f>Tableau13[[#This Row],[Bailleurs]]*12.5%</f>
        <v>0</v>
      </c>
      <c r="AB58" s="320"/>
      <c r="AC58" s="320"/>
      <c r="AD58" s="334"/>
      <c r="AE58" s="334"/>
      <c r="AF58" s="334"/>
      <c r="AG58" s="334"/>
      <c r="AH58" s="334"/>
      <c r="AI58" s="273"/>
      <c r="AJ58" s="54"/>
      <c r="AK58" s="273"/>
      <c r="AL58" s="54"/>
      <c r="AM58" s="53"/>
      <c r="AN58" s="54">
        <v>0</v>
      </c>
      <c r="AO58" s="53"/>
      <c r="AP58" s="54">
        <v>0</v>
      </c>
      <c r="AQ58" s="53"/>
      <c r="AR58" s="54">
        <v>0</v>
      </c>
      <c r="AS58" s="53"/>
      <c r="AT58" s="54">
        <v>0</v>
      </c>
      <c r="AU58" s="53"/>
      <c r="AV58" s="56">
        <v>0</v>
      </c>
      <c r="AW58" s="53"/>
      <c r="AX58" s="57">
        <v>42430</v>
      </c>
      <c r="AY58" s="29">
        <v>3</v>
      </c>
      <c r="AZ58" s="34">
        <f>Tableau13[[#This Row],[Bailleurs]]-SUM(Tableau13[[#This Row],[LOGIREP]:[France Habitation]])</f>
        <v>0</v>
      </c>
      <c r="BA58" s="34">
        <f>Tableau13[[#This Row],[Base de financement]]-Tableau13[[#This Row],[Subvention ANRU]]-Tableau13[[#This Row],[Ville]]-Tableau13[[#This Row],[Plaine Commune]]-Tableau13[[#This Row],[Bailleurs]]-Tableau13[[#This Row],[CDC]]-Tableau13[[#This Row],[Autres]]</f>
        <v>0</v>
      </c>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5"/>
      <c r="EH58" s="35"/>
      <c r="EI58" s="35"/>
      <c r="EJ58" s="35"/>
      <c r="EK58" s="35"/>
      <c r="EL58" s="35"/>
      <c r="EM58" s="35"/>
      <c r="EN58" s="35"/>
      <c r="EO58" s="35"/>
      <c r="EP58" s="35"/>
      <c r="EQ58" s="35"/>
      <c r="ER58" s="35"/>
      <c r="ES58" s="35"/>
      <c r="ET58" s="35"/>
    </row>
    <row r="59" spans="1:150" s="36" customFormat="1" ht="60" customHeight="1" x14ac:dyDescent="0.25">
      <c r="A59" s="65" t="s">
        <v>585</v>
      </c>
      <c r="B59" s="66" t="s">
        <v>888</v>
      </c>
      <c r="C59" s="58" t="s">
        <v>895</v>
      </c>
      <c r="D59" s="46" t="s">
        <v>896</v>
      </c>
      <c r="E59" s="480"/>
      <c r="F59" s="480"/>
      <c r="G59" s="480"/>
      <c r="H59" s="47" t="s">
        <v>827</v>
      </c>
      <c r="I59" s="24" t="s">
        <v>799</v>
      </c>
      <c r="J59" s="36" t="s">
        <v>831</v>
      </c>
      <c r="K59" s="48">
        <f>23000+39000+70000</f>
        <v>132000</v>
      </c>
      <c r="L59" s="41">
        <v>0.2</v>
      </c>
      <c r="M59" s="49">
        <f>K59*(1+L59)</f>
        <v>158400</v>
      </c>
      <c r="N59" s="48">
        <f>23000+39000+70000</f>
        <v>132000</v>
      </c>
      <c r="O59" s="31">
        <f>K59*P59</f>
        <v>66000</v>
      </c>
      <c r="P59" s="41">
        <v>0.5</v>
      </c>
      <c r="Q59" s="46"/>
      <c r="R59" s="31">
        <f>K59*S59</f>
        <v>0</v>
      </c>
      <c r="S59" s="41"/>
      <c r="T59" s="30">
        <f>K59*U59</f>
        <v>66000</v>
      </c>
      <c r="U59" s="41">
        <v>0.5</v>
      </c>
      <c r="V59" s="31">
        <f>K59*AM59</f>
        <v>0</v>
      </c>
      <c r="W59" s="31"/>
      <c r="X59" s="288"/>
      <c r="Y59" s="288"/>
      <c r="Z59" s="31"/>
      <c r="AA59" s="31">
        <f>Tableau13[[#This Row],[Bailleurs]]*12.5%</f>
        <v>0</v>
      </c>
      <c r="AB59" s="322"/>
      <c r="AC59" s="322"/>
      <c r="AD59" s="336"/>
      <c r="AE59" s="336"/>
      <c r="AF59" s="336"/>
      <c r="AG59" s="336"/>
      <c r="AH59" s="336"/>
      <c r="AI59" s="260"/>
      <c r="AJ59" s="31"/>
      <c r="AK59" s="260"/>
      <c r="AL59" s="31"/>
      <c r="AM59" s="41"/>
      <c r="AN59" s="31">
        <f>K59*AO59</f>
        <v>0</v>
      </c>
      <c r="AO59" s="41"/>
      <c r="AP59" s="31">
        <f>K59*AQ59</f>
        <v>0</v>
      </c>
      <c r="AQ59" s="41"/>
      <c r="AR59" s="31">
        <f>K59*AS59</f>
        <v>0</v>
      </c>
      <c r="AS59" s="41"/>
      <c r="AT59" s="31">
        <f>K59*AU59</f>
        <v>0</v>
      </c>
      <c r="AU59" s="41"/>
      <c r="AV59" s="50">
        <f>K59*AW59</f>
        <v>0</v>
      </c>
      <c r="AW59" s="41"/>
      <c r="AX59" s="51">
        <v>42496</v>
      </c>
      <c r="AY59" s="46">
        <v>4</v>
      </c>
      <c r="AZ59" s="34">
        <f>Tableau13[[#This Row],[Bailleurs]]-SUM(Tableau13[[#This Row],[LOGIREP]:[France Habitation]])</f>
        <v>0</v>
      </c>
      <c r="BA59" s="34">
        <f>Tableau13[[#This Row],[Base de financement]]-Tableau13[[#This Row],[Subvention ANRU]]-Tableau13[[#This Row],[Ville]]-Tableau13[[#This Row],[Plaine Commune]]-Tableau13[[#This Row],[Bailleurs]]-Tableau13[[#This Row],[CDC]]-Tableau13[[#This Row],[Autres]]</f>
        <v>0</v>
      </c>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5"/>
      <c r="EH59" s="35"/>
      <c r="EI59" s="35"/>
      <c r="EJ59" s="35"/>
      <c r="EK59" s="35"/>
      <c r="EL59" s="35"/>
      <c r="EM59" s="35"/>
      <c r="EN59" s="35"/>
      <c r="EO59" s="35"/>
      <c r="EP59" s="35"/>
      <c r="EQ59" s="35"/>
      <c r="ER59" s="35"/>
      <c r="ES59" s="35"/>
      <c r="ET59" s="35"/>
    </row>
    <row r="60" spans="1:150" s="36" customFormat="1" ht="60" customHeight="1" x14ac:dyDescent="0.25">
      <c r="A60" s="21" t="s">
        <v>418</v>
      </c>
      <c r="B60" s="22" t="s">
        <v>888</v>
      </c>
      <c r="C60" s="59" t="s">
        <v>897</v>
      </c>
      <c r="D60" s="29" t="s">
        <v>898</v>
      </c>
      <c r="E60" s="485"/>
      <c r="F60" s="485"/>
      <c r="G60" s="485"/>
      <c r="H60" s="29" t="s">
        <v>827</v>
      </c>
      <c r="I60" s="24" t="s">
        <v>799</v>
      </c>
      <c r="J60" s="36" t="s">
        <v>831</v>
      </c>
      <c r="K60" s="52">
        <v>58000</v>
      </c>
      <c r="L60" s="53">
        <v>0.2</v>
      </c>
      <c r="M60" s="70">
        <v>69600</v>
      </c>
      <c r="N60" s="54">
        <v>58000</v>
      </c>
      <c r="O60" s="54">
        <v>29000</v>
      </c>
      <c r="P60" s="53">
        <v>0.5</v>
      </c>
      <c r="Q60" s="29"/>
      <c r="R60" s="54">
        <v>0</v>
      </c>
      <c r="S60" s="53"/>
      <c r="T60" s="55">
        <v>29000</v>
      </c>
      <c r="U60" s="53">
        <v>0.5</v>
      </c>
      <c r="V60" s="54">
        <v>0</v>
      </c>
      <c r="W60" s="54"/>
      <c r="X60" s="289"/>
      <c r="Y60" s="289"/>
      <c r="Z60" s="54"/>
      <c r="AA60" s="54">
        <f>Tableau13[[#This Row],[Bailleurs]]*12.5%</f>
        <v>0</v>
      </c>
      <c r="AB60" s="320"/>
      <c r="AC60" s="320"/>
      <c r="AD60" s="334"/>
      <c r="AE60" s="334"/>
      <c r="AF60" s="334"/>
      <c r="AG60" s="334"/>
      <c r="AH60" s="334"/>
      <c r="AI60" s="273"/>
      <c r="AJ60" s="54"/>
      <c r="AK60" s="273"/>
      <c r="AL60" s="54"/>
      <c r="AM60" s="53">
        <v>0</v>
      </c>
      <c r="AN60" s="54">
        <v>0</v>
      </c>
      <c r="AO60" s="53"/>
      <c r="AP60" s="54">
        <v>0</v>
      </c>
      <c r="AQ60" s="53"/>
      <c r="AR60" s="54">
        <v>0</v>
      </c>
      <c r="AS60" s="53"/>
      <c r="AT60" s="54">
        <v>0</v>
      </c>
      <c r="AU60" s="53"/>
      <c r="AV60" s="56">
        <v>0</v>
      </c>
      <c r="AW60" s="53"/>
      <c r="AX60" s="57">
        <v>42614</v>
      </c>
      <c r="AY60" s="29">
        <v>3</v>
      </c>
      <c r="AZ60" s="34">
        <f>Tableau13[[#This Row],[Bailleurs]]-SUM(Tableau13[[#This Row],[LOGIREP]:[France Habitation]])</f>
        <v>0</v>
      </c>
      <c r="BA60" s="34">
        <f>Tableau13[[#This Row],[Base de financement]]-Tableau13[[#This Row],[Subvention ANRU]]-Tableau13[[#This Row],[Ville]]-Tableau13[[#This Row],[Plaine Commune]]-Tableau13[[#This Row],[Bailleurs]]-Tableau13[[#This Row],[CDC]]-Tableau13[[#This Row],[Autres]]</f>
        <v>0</v>
      </c>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5"/>
      <c r="EH60" s="35"/>
      <c r="EI60" s="35"/>
      <c r="EJ60" s="35"/>
      <c r="EK60" s="35"/>
      <c r="EL60" s="35"/>
      <c r="EM60" s="35"/>
      <c r="EN60" s="35"/>
      <c r="EO60" s="35"/>
      <c r="EP60" s="35"/>
      <c r="EQ60" s="35"/>
      <c r="ER60" s="35"/>
      <c r="ES60" s="35"/>
      <c r="ET60" s="35"/>
    </row>
    <row r="61" spans="1:150" s="36" customFormat="1" ht="60" customHeight="1" x14ac:dyDescent="0.25">
      <c r="A61" s="21" t="s">
        <v>418</v>
      </c>
      <c r="B61" s="22" t="s">
        <v>888</v>
      </c>
      <c r="C61" s="93" t="s">
        <v>899</v>
      </c>
      <c r="D61" s="94" t="s">
        <v>900</v>
      </c>
      <c r="E61" s="483"/>
      <c r="F61" s="483"/>
      <c r="G61" s="483"/>
      <c r="H61" s="66" t="s">
        <v>827</v>
      </c>
      <c r="I61" s="24" t="s">
        <v>799</v>
      </c>
      <c r="J61" s="36" t="s">
        <v>831</v>
      </c>
      <c r="K61" s="52">
        <v>31000</v>
      </c>
      <c r="L61" s="53">
        <v>0.2</v>
      </c>
      <c r="M61" s="70">
        <v>37200</v>
      </c>
      <c r="N61" s="54">
        <v>31000</v>
      </c>
      <c r="O61" s="54">
        <v>15500</v>
      </c>
      <c r="P61" s="53">
        <v>0.5</v>
      </c>
      <c r="Q61" s="29"/>
      <c r="R61" s="54">
        <v>0</v>
      </c>
      <c r="S61" s="53"/>
      <c r="T61" s="55">
        <v>15500</v>
      </c>
      <c r="U61" s="53">
        <v>0.5</v>
      </c>
      <c r="V61" s="54">
        <v>0</v>
      </c>
      <c r="W61" s="54"/>
      <c r="X61" s="289"/>
      <c r="Y61" s="289"/>
      <c r="Z61" s="54"/>
      <c r="AA61" s="54">
        <f>Tableau13[[#This Row],[Bailleurs]]*12.5%</f>
        <v>0</v>
      </c>
      <c r="AB61" s="320"/>
      <c r="AC61" s="320"/>
      <c r="AD61" s="334"/>
      <c r="AE61" s="334"/>
      <c r="AF61" s="334"/>
      <c r="AG61" s="334"/>
      <c r="AH61" s="334"/>
      <c r="AI61" s="273"/>
      <c r="AJ61" s="54"/>
      <c r="AK61" s="273"/>
      <c r="AL61" s="54"/>
      <c r="AM61" s="53">
        <v>0</v>
      </c>
      <c r="AN61" s="54">
        <v>0</v>
      </c>
      <c r="AO61" s="53"/>
      <c r="AP61" s="54">
        <v>0</v>
      </c>
      <c r="AQ61" s="53"/>
      <c r="AR61" s="54">
        <v>0</v>
      </c>
      <c r="AS61" s="53"/>
      <c r="AT61" s="54">
        <v>0</v>
      </c>
      <c r="AU61" s="53"/>
      <c r="AV61" s="56">
        <v>0</v>
      </c>
      <c r="AW61" s="53"/>
      <c r="AX61" s="57">
        <v>42614</v>
      </c>
      <c r="AY61" s="29">
        <v>3</v>
      </c>
      <c r="AZ61" s="34">
        <f>Tableau13[[#This Row],[Bailleurs]]-SUM(Tableau13[[#This Row],[LOGIREP]:[France Habitation]])</f>
        <v>0</v>
      </c>
      <c r="BA61" s="34">
        <f>Tableau13[[#This Row],[Base de financement]]-Tableau13[[#This Row],[Subvention ANRU]]-Tableau13[[#This Row],[Ville]]-Tableau13[[#This Row],[Plaine Commune]]-Tableau13[[#This Row],[Bailleurs]]-Tableau13[[#This Row],[CDC]]-Tableau13[[#This Row],[Autres]]</f>
        <v>0</v>
      </c>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5"/>
      <c r="EH61" s="35"/>
      <c r="EI61" s="35"/>
      <c r="EJ61" s="35"/>
      <c r="EK61" s="35"/>
      <c r="EL61" s="35"/>
      <c r="EM61" s="35"/>
      <c r="EN61" s="35"/>
      <c r="EO61" s="35"/>
      <c r="EP61" s="35"/>
      <c r="EQ61" s="35"/>
      <c r="ER61" s="35"/>
      <c r="ES61" s="35"/>
      <c r="ET61" s="35"/>
    </row>
    <row r="62" spans="1:150" s="36" customFormat="1" ht="60" customHeight="1" x14ac:dyDescent="0.25">
      <c r="A62" s="21" t="s">
        <v>807</v>
      </c>
      <c r="B62" s="22" t="s">
        <v>888</v>
      </c>
      <c r="C62" s="37" t="s">
        <v>901</v>
      </c>
      <c r="D62" s="29" t="s">
        <v>902</v>
      </c>
      <c r="E62" s="485">
        <v>20</v>
      </c>
      <c r="F62" s="485">
        <v>70</v>
      </c>
      <c r="G62" s="485">
        <v>10</v>
      </c>
      <c r="H62" s="29" t="s">
        <v>827</v>
      </c>
      <c r="I62" s="24" t="s">
        <v>799</v>
      </c>
      <c r="J62" s="36" t="s">
        <v>831</v>
      </c>
      <c r="K62" s="267">
        <v>99000</v>
      </c>
      <c r="L62" s="53">
        <v>0.2</v>
      </c>
      <c r="M62" s="54">
        <v>118800</v>
      </c>
      <c r="N62" s="54">
        <v>99000</v>
      </c>
      <c r="O62" s="54">
        <v>49500</v>
      </c>
      <c r="P62" s="53">
        <v>0.5</v>
      </c>
      <c r="Q62" s="29"/>
      <c r="R62" s="54">
        <v>0</v>
      </c>
      <c r="S62" s="53"/>
      <c r="T62" s="55">
        <v>49500</v>
      </c>
      <c r="U62" s="53">
        <v>0.5</v>
      </c>
      <c r="V62" s="54">
        <v>0</v>
      </c>
      <c r="W62" s="54"/>
      <c r="X62" s="289"/>
      <c r="Y62" s="289"/>
      <c r="Z62" s="54"/>
      <c r="AA62" s="54">
        <f>Tableau13[[#This Row],[Bailleurs]]*12.5%</f>
        <v>0</v>
      </c>
      <c r="AB62" s="320"/>
      <c r="AC62" s="320"/>
      <c r="AD62" s="334"/>
      <c r="AE62" s="334"/>
      <c r="AF62" s="334"/>
      <c r="AG62" s="334"/>
      <c r="AH62" s="334"/>
      <c r="AI62" s="273"/>
      <c r="AJ62" s="54"/>
      <c r="AK62" s="273"/>
      <c r="AL62" s="54"/>
      <c r="AM62" s="53"/>
      <c r="AN62" s="54">
        <v>0</v>
      </c>
      <c r="AO62" s="53"/>
      <c r="AP62" s="54">
        <v>0</v>
      </c>
      <c r="AQ62" s="53"/>
      <c r="AR62" s="54">
        <v>0</v>
      </c>
      <c r="AS62" s="53"/>
      <c r="AT62" s="54">
        <v>0</v>
      </c>
      <c r="AU62" s="53"/>
      <c r="AV62" s="56">
        <v>0</v>
      </c>
      <c r="AW62" s="53"/>
      <c r="AX62" s="57">
        <v>42430</v>
      </c>
      <c r="AY62" s="29">
        <v>3</v>
      </c>
      <c r="AZ62" s="34">
        <f>Tableau13[[#This Row],[Bailleurs]]-SUM(Tableau13[[#This Row],[LOGIREP]:[France Habitation]])</f>
        <v>0</v>
      </c>
      <c r="BA62" s="34">
        <f>Tableau13[[#This Row],[Base de financement]]-Tableau13[[#This Row],[Subvention ANRU]]-Tableau13[[#This Row],[Ville]]-Tableau13[[#This Row],[Plaine Commune]]-Tableau13[[#This Row],[Bailleurs]]-Tableau13[[#This Row],[CDC]]-Tableau13[[#This Row],[Autres]]</f>
        <v>0</v>
      </c>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5"/>
      <c r="EH62" s="35"/>
      <c r="EI62" s="35"/>
      <c r="EJ62" s="35"/>
      <c r="EK62" s="35"/>
      <c r="EL62" s="35"/>
      <c r="EM62" s="35"/>
      <c r="EN62" s="35"/>
      <c r="EO62" s="35"/>
      <c r="EP62" s="35"/>
      <c r="EQ62" s="35"/>
      <c r="ER62" s="35"/>
      <c r="ES62" s="35"/>
      <c r="ET62" s="35"/>
    </row>
    <row r="63" spans="1:150" s="36" customFormat="1" ht="60" customHeight="1" x14ac:dyDescent="0.25">
      <c r="A63" s="21" t="s">
        <v>163</v>
      </c>
      <c r="B63" s="22" t="s">
        <v>888</v>
      </c>
      <c r="C63" s="59" t="s">
        <v>903</v>
      </c>
      <c r="D63" s="69" t="s">
        <v>904</v>
      </c>
      <c r="E63" s="481"/>
      <c r="F63" s="481"/>
      <c r="G63" s="481"/>
      <c r="H63" s="29" t="s">
        <v>827</v>
      </c>
      <c r="I63" s="24" t="s">
        <v>799</v>
      </c>
      <c r="J63" s="36" t="s">
        <v>831</v>
      </c>
      <c r="K63" s="52">
        <v>30000</v>
      </c>
      <c r="L63" s="53">
        <v>0.2</v>
      </c>
      <c r="M63" s="70">
        <v>36000</v>
      </c>
      <c r="N63" s="52">
        <v>34000</v>
      </c>
      <c r="O63" s="110">
        <v>17000</v>
      </c>
      <c r="P63" s="71">
        <v>0.5</v>
      </c>
      <c r="Q63" s="118"/>
      <c r="R63" s="54">
        <v>0</v>
      </c>
      <c r="S63" s="71"/>
      <c r="T63" s="55">
        <v>17000</v>
      </c>
      <c r="U63" s="71">
        <v>0.5</v>
      </c>
      <c r="V63" s="54">
        <v>0</v>
      </c>
      <c r="W63" s="54"/>
      <c r="X63" s="289"/>
      <c r="Y63" s="289"/>
      <c r="Z63" s="54"/>
      <c r="AA63" s="54">
        <f>Tableau13[[#This Row],[Bailleurs]]*12.5%</f>
        <v>0</v>
      </c>
      <c r="AB63" s="320"/>
      <c r="AC63" s="320"/>
      <c r="AD63" s="334"/>
      <c r="AE63" s="334"/>
      <c r="AF63" s="334"/>
      <c r="AG63" s="334"/>
      <c r="AH63" s="334"/>
      <c r="AI63" s="273"/>
      <c r="AJ63" s="54"/>
      <c r="AK63" s="273"/>
      <c r="AL63" s="54"/>
      <c r="AM63" s="71"/>
      <c r="AN63" s="54">
        <v>0</v>
      </c>
      <c r="AO63" s="71"/>
      <c r="AP63" s="54">
        <v>0</v>
      </c>
      <c r="AQ63" s="71"/>
      <c r="AR63" s="54">
        <v>0</v>
      </c>
      <c r="AS63" s="71"/>
      <c r="AT63" s="54">
        <v>0</v>
      </c>
      <c r="AU63" s="71"/>
      <c r="AV63" s="72">
        <v>0</v>
      </c>
      <c r="AW63" s="71"/>
      <c r="AX63" s="73"/>
      <c r="AY63" s="74"/>
      <c r="AZ63" s="34">
        <f>Tableau13[[#This Row],[Bailleurs]]-SUM(Tableau13[[#This Row],[LOGIREP]:[France Habitation]])</f>
        <v>0</v>
      </c>
      <c r="BA63" s="34">
        <f>Tableau13[[#This Row],[Base de financement]]-Tableau13[[#This Row],[Subvention ANRU]]-Tableau13[[#This Row],[Ville]]-Tableau13[[#This Row],[Plaine Commune]]-Tableau13[[#This Row],[Bailleurs]]-Tableau13[[#This Row],[CDC]]-Tableau13[[#This Row],[Autres]]</f>
        <v>0</v>
      </c>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5"/>
      <c r="EH63" s="35"/>
      <c r="EI63" s="35"/>
      <c r="EJ63" s="35"/>
      <c r="EK63" s="35"/>
      <c r="EL63" s="35"/>
      <c r="EM63" s="35"/>
      <c r="EN63" s="35"/>
      <c r="EO63" s="35"/>
      <c r="EP63" s="35"/>
      <c r="EQ63" s="35"/>
      <c r="ER63" s="35"/>
      <c r="ES63" s="35"/>
      <c r="ET63" s="35"/>
    </row>
    <row r="64" spans="1:150" s="36" customFormat="1" ht="60" customHeight="1" x14ac:dyDescent="0.25">
      <c r="A64" s="21" t="s">
        <v>163</v>
      </c>
      <c r="B64" s="22" t="s">
        <v>888</v>
      </c>
      <c r="C64" s="59" t="s">
        <v>905</v>
      </c>
      <c r="D64" s="111" t="s">
        <v>906</v>
      </c>
      <c r="E64" s="491"/>
      <c r="F64" s="491"/>
      <c r="G64" s="491"/>
      <c r="H64" s="112" t="s">
        <v>827</v>
      </c>
      <c r="I64" s="24" t="s">
        <v>799</v>
      </c>
      <c r="J64" s="36" t="s">
        <v>831</v>
      </c>
      <c r="K64" s="113">
        <v>43000</v>
      </c>
      <c r="L64" s="114">
        <v>0.2</v>
      </c>
      <c r="M64" s="115">
        <v>51600</v>
      </c>
      <c r="N64" s="113">
        <v>52000</v>
      </c>
      <c r="O64" s="110">
        <v>26000</v>
      </c>
      <c r="P64" s="114">
        <v>0.5</v>
      </c>
      <c r="Q64" s="29"/>
      <c r="R64" s="54">
        <v>0</v>
      </c>
      <c r="S64" s="53"/>
      <c r="T64" s="119">
        <v>26000</v>
      </c>
      <c r="U64" s="114">
        <v>0.5</v>
      </c>
      <c r="V64" s="110">
        <v>0</v>
      </c>
      <c r="W64" s="110"/>
      <c r="X64" s="309"/>
      <c r="Y64" s="309"/>
      <c r="Z64" s="110"/>
      <c r="AA64" s="110">
        <f>Tableau13[[#This Row],[Bailleurs]]*12.5%</f>
        <v>0</v>
      </c>
      <c r="AB64" s="328"/>
      <c r="AC64" s="328"/>
      <c r="AD64" s="342"/>
      <c r="AE64" s="342"/>
      <c r="AF64" s="342"/>
      <c r="AG64" s="342"/>
      <c r="AH64" s="342"/>
      <c r="AI64" s="278"/>
      <c r="AJ64" s="110"/>
      <c r="AK64" s="278"/>
      <c r="AL64" s="110"/>
      <c r="AM64" s="114"/>
      <c r="AN64" s="110">
        <v>0</v>
      </c>
      <c r="AO64" s="114"/>
      <c r="AP64" s="110">
        <v>0</v>
      </c>
      <c r="AQ64" s="114"/>
      <c r="AR64" s="110">
        <v>0</v>
      </c>
      <c r="AS64" s="114"/>
      <c r="AT64" s="110">
        <v>0</v>
      </c>
      <c r="AU64" s="114"/>
      <c r="AV64" s="120"/>
      <c r="AW64" s="112"/>
      <c r="AX64" s="57">
        <v>42370</v>
      </c>
      <c r="AY64" s="29">
        <v>3</v>
      </c>
      <c r="AZ64" s="122">
        <f>Tableau13[[#This Row],[Bailleurs]]-SUM(Tableau13[[#This Row],[LOGIREP]:[France Habitation]])</f>
        <v>0</v>
      </c>
      <c r="BA64" s="34">
        <f>Tableau13[[#This Row],[Base de financement]]-Tableau13[[#This Row],[Subvention ANRU]]-Tableau13[[#This Row],[Ville]]-Tableau13[[#This Row],[Plaine Commune]]-Tableau13[[#This Row],[Bailleurs]]-Tableau13[[#This Row],[CDC]]-Tableau13[[#This Row],[Autres]]</f>
        <v>0</v>
      </c>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5"/>
      <c r="EH64" s="35"/>
      <c r="EI64" s="35"/>
      <c r="EJ64" s="35"/>
      <c r="EK64" s="35"/>
      <c r="EL64" s="35"/>
      <c r="EM64" s="35"/>
      <c r="EN64" s="35"/>
      <c r="EO64" s="35"/>
      <c r="EP64" s="35"/>
      <c r="EQ64" s="35"/>
      <c r="ER64" s="35"/>
      <c r="ES64" s="35"/>
      <c r="ET64" s="35"/>
    </row>
    <row r="65" spans="1:150" s="36" customFormat="1" ht="60" customHeight="1" x14ac:dyDescent="0.25">
      <c r="A65" s="21" t="s">
        <v>33</v>
      </c>
      <c r="B65" s="22" t="s">
        <v>888</v>
      </c>
      <c r="C65" s="59" t="s">
        <v>907</v>
      </c>
      <c r="D65" s="29" t="s">
        <v>908</v>
      </c>
      <c r="E65" s="485"/>
      <c r="F65" s="485">
        <v>100</v>
      </c>
      <c r="G65" s="485"/>
      <c r="H65" s="29" t="s">
        <v>827</v>
      </c>
      <c r="I65" s="24" t="s">
        <v>799</v>
      </c>
      <c r="J65" s="36" t="s">
        <v>831</v>
      </c>
      <c r="K65" s="52">
        <v>32000</v>
      </c>
      <c r="L65" s="53">
        <v>0.2</v>
      </c>
      <c r="M65" s="70">
        <v>22800</v>
      </c>
      <c r="N65" s="54">
        <v>19000</v>
      </c>
      <c r="O65" s="54">
        <v>9500</v>
      </c>
      <c r="P65" s="53">
        <v>0.5</v>
      </c>
      <c r="Q65" s="29"/>
      <c r="R65" s="54">
        <v>0</v>
      </c>
      <c r="S65" s="53"/>
      <c r="T65" s="55">
        <v>9500</v>
      </c>
      <c r="U65" s="53">
        <v>0.5</v>
      </c>
      <c r="V65" s="54">
        <v>0</v>
      </c>
      <c r="W65" s="54"/>
      <c r="X65" s="289"/>
      <c r="Y65" s="289"/>
      <c r="Z65" s="54"/>
      <c r="AA65" s="54">
        <f>Tableau13[[#This Row],[Bailleurs]]*12.5%</f>
        <v>0</v>
      </c>
      <c r="AB65" s="320"/>
      <c r="AC65" s="320"/>
      <c r="AD65" s="334"/>
      <c r="AE65" s="334"/>
      <c r="AF65" s="334"/>
      <c r="AG65" s="334"/>
      <c r="AH65" s="334"/>
      <c r="AI65" s="273"/>
      <c r="AJ65" s="54"/>
      <c r="AK65" s="273"/>
      <c r="AL65" s="54"/>
      <c r="AM65" s="53"/>
      <c r="AN65" s="54">
        <v>0</v>
      </c>
      <c r="AO65" s="53"/>
      <c r="AP65" s="54">
        <v>0</v>
      </c>
      <c r="AQ65" s="53"/>
      <c r="AR65" s="54">
        <v>0</v>
      </c>
      <c r="AS65" s="53"/>
      <c r="AT65" s="54">
        <v>0</v>
      </c>
      <c r="AU65" s="53"/>
      <c r="AV65" s="117">
        <v>0</v>
      </c>
      <c r="AW65" s="53"/>
      <c r="AX65" s="57">
        <v>42614</v>
      </c>
      <c r="AY65" s="29">
        <v>2</v>
      </c>
      <c r="AZ65" s="166">
        <f>Tableau13[[#This Row],[Bailleurs]]-SUM(Tableau13[[#This Row],[LOGIREP]:[France Habitation]])</f>
        <v>0</v>
      </c>
      <c r="BA65" s="34">
        <f>Tableau13[[#This Row],[Base de financement]]-Tableau13[[#This Row],[Subvention ANRU]]-Tableau13[[#This Row],[Ville]]-Tableau13[[#This Row],[Plaine Commune]]-Tableau13[[#This Row],[Bailleurs]]-Tableau13[[#This Row],[CDC]]-Tableau13[[#This Row],[Autres]]</f>
        <v>0</v>
      </c>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5"/>
      <c r="EH65" s="35"/>
      <c r="EI65" s="35"/>
      <c r="EJ65" s="35"/>
      <c r="EK65" s="35"/>
      <c r="EL65" s="35"/>
      <c r="EM65" s="35"/>
      <c r="EN65" s="35"/>
      <c r="EO65" s="35"/>
      <c r="EP65" s="35"/>
      <c r="EQ65" s="35"/>
      <c r="ER65" s="35"/>
      <c r="ES65" s="35"/>
      <c r="ET65" s="35"/>
    </row>
    <row r="66" spans="1:150" s="36" customFormat="1" ht="60" customHeight="1" x14ac:dyDescent="0.25">
      <c r="A66" s="21" t="s">
        <v>33</v>
      </c>
      <c r="B66" s="22" t="s">
        <v>888</v>
      </c>
      <c r="C66" s="59" t="s">
        <v>909</v>
      </c>
      <c r="D66" s="29" t="s">
        <v>902</v>
      </c>
      <c r="E66" s="485"/>
      <c r="F66" s="485">
        <v>100</v>
      </c>
      <c r="G66" s="485"/>
      <c r="H66" s="29" t="s">
        <v>827</v>
      </c>
      <c r="I66" s="24" t="s">
        <v>799</v>
      </c>
      <c r="J66" s="36" t="s">
        <v>831</v>
      </c>
      <c r="K66" s="52">
        <v>110000</v>
      </c>
      <c r="L66" s="53">
        <v>0.2</v>
      </c>
      <c r="M66" s="54">
        <v>132000</v>
      </c>
      <c r="N66" s="52">
        <v>110000</v>
      </c>
      <c r="O66" s="54">
        <v>55000</v>
      </c>
      <c r="P66" s="53">
        <v>0.5</v>
      </c>
      <c r="Q66" s="29" t="s">
        <v>910</v>
      </c>
      <c r="R66" s="54">
        <v>0</v>
      </c>
      <c r="S66" s="53"/>
      <c r="T66" s="55">
        <v>55000</v>
      </c>
      <c r="U66" s="53">
        <v>0.5</v>
      </c>
      <c r="V66" s="54">
        <v>0</v>
      </c>
      <c r="W66" s="54"/>
      <c r="X66" s="289"/>
      <c r="Y66" s="289"/>
      <c r="Z66" s="54"/>
      <c r="AA66" s="54">
        <f>Tableau13[[#This Row],[Bailleurs]]*12.5%</f>
        <v>0</v>
      </c>
      <c r="AB66" s="320"/>
      <c r="AC66" s="320"/>
      <c r="AD66" s="334"/>
      <c r="AE66" s="334"/>
      <c r="AF66" s="334"/>
      <c r="AG66" s="334"/>
      <c r="AH66" s="334"/>
      <c r="AI66" s="273"/>
      <c r="AJ66" s="54"/>
      <c r="AK66" s="273"/>
      <c r="AL66" s="54"/>
      <c r="AM66" s="53"/>
      <c r="AN66" s="54">
        <v>0</v>
      </c>
      <c r="AO66" s="53"/>
      <c r="AP66" s="54">
        <v>0</v>
      </c>
      <c r="AQ66" s="53"/>
      <c r="AR66" s="54">
        <v>0</v>
      </c>
      <c r="AS66" s="53"/>
      <c r="AT66" s="54">
        <v>0</v>
      </c>
      <c r="AU66" s="53"/>
      <c r="AV66" s="56">
        <v>0</v>
      </c>
      <c r="AW66" s="53"/>
      <c r="AX66" s="57">
        <v>42491</v>
      </c>
      <c r="AY66" s="121">
        <v>3</v>
      </c>
      <c r="AZ66" s="186">
        <f>Tableau13[[#This Row],[Bailleurs]]-SUM(Tableau13[[#This Row],[LOGIREP]:[France Habitation]])</f>
        <v>0</v>
      </c>
      <c r="BA66" s="34">
        <f>Tableau13[[#This Row],[Base de financement]]-Tableau13[[#This Row],[Subvention ANRU]]-Tableau13[[#This Row],[Ville]]-Tableau13[[#This Row],[Plaine Commune]]-Tableau13[[#This Row],[Bailleurs]]-Tableau13[[#This Row],[CDC]]-Tableau13[[#This Row],[Autres]]</f>
        <v>0</v>
      </c>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5"/>
      <c r="EH66" s="35"/>
      <c r="EI66" s="35"/>
      <c r="EJ66" s="35"/>
      <c r="EK66" s="35"/>
      <c r="EL66" s="35"/>
      <c r="EM66" s="35"/>
      <c r="EN66" s="35"/>
      <c r="EO66" s="35"/>
      <c r="EP66" s="35"/>
      <c r="EQ66" s="35"/>
      <c r="ER66" s="35"/>
      <c r="ES66" s="35"/>
      <c r="ET66" s="35"/>
    </row>
    <row r="67" spans="1:150" s="36" customFormat="1" ht="60" customHeight="1" x14ac:dyDescent="0.25">
      <c r="A67" s="21" t="s">
        <v>812</v>
      </c>
      <c r="B67" s="22" t="s">
        <v>888</v>
      </c>
      <c r="C67" s="59" t="s">
        <v>943</v>
      </c>
      <c r="D67" s="29" t="s">
        <v>944</v>
      </c>
      <c r="E67" s="485"/>
      <c r="F67" s="485"/>
      <c r="G67" s="485"/>
      <c r="H67" s="29" t="s">
        <v>827</v>
      </c>
      <c r="I67" s="29" t="s">
        <v>799</v>
      </c>
      <c r="J67" s="36" t="s">
        <v>831</v>
      </c>
      <c r="K67" s="116">
        <v>12000</v>
      </c>
      <c r="L67" s="53"/>
      <c r="M67" s="54"/>
      <c r="N67" s="54">
        <v>12000</v>
      </c>
      <c r="O67" s="54">
        <f>Tableau13[[#This Row],[Base de financement]]*Tableau13[[#This Row],[Taux de subvention ANRU]]</f>
        <v>6000</v>
      </c>
      <c r="P67" s="53">
        <v>0.5</v>
      </c>
      <c r="Q67" s="29"/>
      <c r="R67" s="54"/>
      <c r="S67" s="53"/>
      <c r="T67" s="55"/>
      <c r="U67" s="53"/>
      <c r="V67" s="31"/>
      <c r="W67" s="31"/>
      <c r="X67" s="288"/>
      <c r="Y67" s="288"/>
      <c r="Z67" s="31"/>
      <c r="AA67" s="31">
        <f>Tableau13[[#This Row],[Bailleurs]]*12.5%</f>
        <v>0</v>
      </c>
      <c r="AB67" s="322"/>
      <c r="AC67" s="322"/>
      <c r="AD67" s="336"/>
      <c r="AE67" s="336"/>
      <c r="AF67" s="336"/>
      <c r="AG67" s="336"/>
      <c r="AH67" s="336"/>
      <c r="AI67" s="260"/>
      <c r="AJ67" s="31"/>
      <c r="AK67" s="260"/>
      <c r="AL67" s="31"/>
      <c r="AM67" s="53"/>
      <c r="AN67" s="54"/>
      <c r="AO67" s="53"/>
      <c r="AP67" s="54"/>
      <c r="AQ67" s="53"/>
      <c r="AR67" s="54"/>
      <c r="AS67" s="53"/>
      <c r="AT67" s="54"/>
      <c r="AU67" s="53"/>
      <c r="AV67" s="53"/>
      <c r="AW67" s="53"/>
      <c r="AX67" s="57"/>
      <c r="AY67" s="121"/>
      <c r="AZ67" s="186">
        <f>Tableau13[[#This Row],[Bailleurs]]-SUM(Tableau13[[#This Row],[LOGIREP]:[France Habitation]])</f>
        <v>0</v>
      </c>
      <c r="BA67" s="34">
        <f>Tableau13[[#This Row],[Base de financement]]-Tableau13[[#This Row],[Subvention ANRU]]-Tableau13[[#This Row],[Ville]]-Tableau13[[#This Row],[Plaine Commune]]-Tableau13[[#This Row],[Bailleurs]]-Tableau13[[#This Row],[CDC]]-Tableau13[[#This Row],[Autres]]</f>
        <v>6000</v>
      </c>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5"/>
      <c r="EH67" s="35"/>
      <c r="EI67" s="35"/>
      <c r="EJ67" s="35"/>
      <c r="EK67" s="35"/>
      <c r="EL67" s="35"/>
      <c r="EM67" s="35"/>
      <c r="EN67" s="35"/>
      <c r="EO67" s="35"/>
      <c r="EP67" s="35"/>
      <c r="EQ67" s="35"/>
      <c r="ER67" s="35"/>
      <c r="ES67" s="35"/>
      <c r="ET67" s="35"/>
    </row>
    <row r="68" spans="1:150" s="36" customFormat="1" ht="60" customHeight="1" x14ac:dyDescent="0.25">
      <c r="A68" s="21" t="s">
        <v>812</v>
      </c>
      <c r="B68" s="66" t="s">
        <v>888</v>
      </c>
      <c r="C68" s="59" t="s">
        <v>947</v>
      </c>
      <c r="D68" s="69" t="s">
        <v>948</v>
      </c>
      <c r="E68" s="481"/>
      <c r="F68" s="481"/>
      <c r="G68" s="481"/>
      <c r="H68" s="29" t="s">
        <v>827</v>
      </c>
      <c r="I68" s="29" t="s">
        <v>799</v>
      </c>
      <c r="J68" s="36" t="s">
        <v>831</v>
      </c>
      <c r="K68" s="116">
        <v>21000</v>
      </c>
      <c r="L68" s="53"/>
      <c r="M68" s="70"/>
      <c r="N68" s="54">
        <v>21000</v>
      </c>
      <c r="O68" s="54">
        <f>Tableau13[[#This Row],[Base de financement]]*Tableau13[[#This Row],[Taux de subvention ANRU]]</f>
        <v>10500</v>
      </c>
      <c r="P68" s="53">
        <v>0.5</v>
      </c>
      <c r="Q68" s="29"/>
      <c r="R68" s="54"/>
      <c r="S68" s="53"/>
      <c r="T68" s="55"/>
      <c r="U68" s="53"/>
      <c r="V68" s="31"/>
      <c r="W68" s="31"/>
      <c r="X68" s="288"/>
      <c r="Y68" s="288"/>
      <c r="Z68" s="31"/>
      <c r="AA68" s="31">
        <f>Tableau13[[#This Row],[Bailleurs]]*12.5%</f>
        <v>0</v>
      </c>
      <c r="AB68" s="322"/>
      <c r="AC68" s="322"/>
      <c r="AD68" s="336"/>
      <c r="AE68" s="336"/>
      <c r="AF68" s="336"/>
      <c r="AG68" s="336"/>
      <c r="AH68" s="336"/>
      <c r="AI68" s="260"/>
      <c r="AJ68" s="31"/>
      <c r="AK68" s="260"/>
      <c r="AL68" s="31"/>
      <c r="AM68" s="53"/>
      <c r="AN68" s="54"/>
      <c r="AO68" s="53"/>
      <c r="AP68" s="54"/>
      <c r="AQ68" s="53"/>
      <c r="AR68" s="54"/>
      <c r="AS68" s="53"/>
      <c r="AT68" s="54"/>
      <c r="AU68" s="53"/>
      <c r="AV68" s="53"/>
      <c r="AW68" s="53"/>
      <c r="AX68" s="57"/>
      <c r="AY68" s="29"/>
      <c r="AZ68" s="431">
        <f>Tableau13[[#This Row],[Bailleurs]]-SUM(Tableau13[[#This Row],[LOGIREP]:[France Habitation]])</f>
        <v>0</v>
      </c>
      <c r="BA68" s="34">
        <f>Tableau13[[#This Row],[Base de financement]]-Tableau13[[#This Row],[Subvention ANRU]]-Tableau13[[#This Row],[Ville]]-Tableau13[[#This Row],[Plaine Commune]]-Tableau13[[#This Row],[Bailleurs]]-Tableau13[[#This Row],[CDC]]-Tableau13[[#This Row],[Autres]]</f>
        <v>10500</v>
      </c>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5"/>
      <c r="EH68" s="35"/>
      <c r="EI68" s="35"/>
      <c r="EJ68" s="35"/>
      <c r="EK68" s="35"/>
      <c r="EL68" s="35"/>
      <c r="EM68" s="35"/>
      <c r="EN68" s="35"/>
      <c r="EO68" s="35"/>
      <c r="EP68" s="35"/>
      <c r="EQ68" s="35"/>
      <c r="ER68" s="35"/>
      <c r="ES68" s="35"/>
      <c r="ET68" s="35"/>
    </row>
    <row r="69" spans="1:150" s="36" customFormat="1" ht="60" customHeight="1" x14ac:dyDescent="0.25">
      <c r="A69" s="88" t="s">
        <v>418</v>
      </c>
      <c r="B69" s="74" t="s">
        <v>911</v>
      </c>
      <c r="C69" s="93" t="s">
        <v>926</v>
      </c>
      <c r="D69" s="94" t="s">
        <v>927</v>
      </c>
      <c r="E69" s="483"/>
      <c r="F69" s="483"/>
      <c r="G69" s="483"/>
      <c r="H69" s="29" t="s">
        <v>53</v>
      </c>
      <c r="I69" s="24" t="s">
        <v>799</v>
      </c>
      <c r="J69" s="36" t="s">
        <v>831</v>
      </c>
      <c r="K69" s="267">
        <v>12000</v>
      </c>
      <c r="L69" s="53">
        <v>0.2</v>
      </c>
      <c r="M69" s="70">
        <v>14400</v>
      </c>
      <c r="N69" s="54">
        <v>12000</v>
      </c>
      <c r="O69" s="54">
        <v>6000</v>
      </c>
      <c r="P69" s="53">
        <v>0.5</v>
      </c>
      <c r="Q69" s="38" t="s">
        <v>1072</v>
      </c>
      <c r="R69" s="54">
        <v>0</v>
      </c>
      <c r="S69" s="53"/>
      <c r="T69" s="55">
        <v>3000</v>
      </c>
      <c r="U69" s="53">
        <v>0.25</v>
      </c>
      <c r="V69" s="40">
        <v>3000</v>
      </c>
      <c r="W69" s="54">
        <v>1500</v>
      </c>
      <c r="X69" s="289"/>
      <c r="Y69" s="289"/>
      <c r="Z69" s="54"/>
      <c r="AA69" s="54">
        <v>1500</v>
      </c>
      <c r="AB69" s="320"/>
      <c r="AC69" s="320"/>
      <c r="AD69" s="334"/>
      <c r="AE69" s="334"/>
      <c r="AF69" s="334"/>
      <c r="AG69" s="334"/>
      <c r="AH69" s="334"/>
      <c r="AI69" s="273"/>
      <c r="AJ69" s="54"/>
      <c r="AK69" s="273"/>
      <c r="AL69" s="54"/>
      <c r="AM69" s="53">
        <v>0.25</v>
      </c>
      <c r="AN69" s="54">
        <v>0</v>
      </c>
      <c r="AO69" s="53"/>
      <c r="AP69" s="54">
        <v>0</v>
      </c>
      <c r="AQ69" s="53"/>
      <c r="AR69" s="54">
        <v>0</v>
      </c>
      <c r="AS69" s="53"/>
      <c r="AT69" s="54">
        <v>0</v>
      </c>
      <c r="AU69" s="53"/>
      <c r="AV69" s="56">
        <v>0</v>
      </c>
      <c r="AW69" s="53"/>
      <c r="AX69" s="57">
        <v>42461</v>
      </c>
      <c r="AY69" s="29">
        <v>3</v>
      </c>
      <c r="AZ69" s="34">
        <f>Tableau13[[#This Row],[Bailleurs]]-SUM(Tableau13[[#This Row],[LOGIREP]:[France Habitation]])</f>
        <v>0</v>
      </c>
      <c r="BA69" s="34">
        <f>Tableau13[[#This Row],[Base de financement]]-Tableau13[[#This Row],[Subvention ANRU]]-Tableau13[[#This Row],[Ville]]-Tableau13[[#This Row],[Plaine Commune]]-Tableau13[[#This Row],[Bailleurs]]-Tableau13[[#This Row],[CDC]]-Tableau13[[#This Row],[Autres]]</f>
        <v>0</v>
      </c>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5"/>
      <c r="EH69" s="35"/>
      <c r="EI69" s="35"/>
      <c r="EJ69" s="35"/>
      <c r="EK69" s="35"/>
      <c r="EL69" s="35"/>
      <c r="EM69" s="35"/>
      <c r="EN69" s="35"/>
      <c r="EO69" s="35"/>
      <c r="EP69" s="35"/>
      <c r="EQ69" s="35"/>
      <c r="ER69" s="35"/>
      <c r="ES69" s="35"/>
      <c r="ET69" s="35"/>
    </row>
    <row r="70" spans="1:150" s="36" customFormat="1" ht="60" customHeight="1" x14ac:dyDescent="0.25">
      <c r="A70" s="21" t="s">
        <v>418</v>
      </c>
      <c r="B70" s="22" t="s">
        <v>911</v>
      </c>
      <c r="C70" s="59" t="s">
        <v>928</v>
      </c>
      <c r="D70" s="66" t="s">
        <v>929</v>
      </c>
      <c r="E70" s="492"/>
      <c r="F70" s="492"/>
      <c r="G70" s="492"/>
      <c r="H70" s="66" t="s">
        <v>827</v>
      </c>
      <c r="I70" s="24" t="s">
        <v>799</v>
      </c>
      <c r="J70" s="36" t="s">
        <v>831</v>
      </c>
      <c r="K70" s="134">
        <v>40000</v>
      </c>
      <c r="L70" s="53">
        <v>0.2</v>
      </c>
      <c r="M70" s="54">
        <v>48000</v>
      </c>
      <c r="N70" s="54">
        <v>40000</v>
      </c>
      <c r="O70" s="54">
        <v>20000</v>
      </c>
      <c r="P70" s="53">
        <v>0.5</v>
      </c>
      <c r="Q70" s="29" t="s">
        <v>492</v>
      </c>
      <c r="R70" s="54">
        <v>0</v>
      </c>
      <c r="S70" s="53"/>
      <c r="T70" s="55">
        <v>10000</v>
      </c>
      <c r="U70" s="53">
        <v>0.25</v>
      </c>
      <c r="V70" s="192">
        <v>10000</v>
      </c>
      <c r="W70" s="54"/>
      <c r="X70" s="289"/>
      <c r="Y70" s="289"/>
      <c r="Z70" s="54"/>
      <c r="AA70" s="54"/>
      <c r="AB70" s="320"/>
      <c r="AC70" s="320"/>
      <c r="AD70" s="334"/>
      <c r="AE70" s="334"/>
      <c r="AF70" s="334"/>
      <c r="AG70" s="334"/>
      <c r="AH70" s="334"/>
      <c r="AI70" s="273"/>
      <c r="AJ70" s="54"/>
      <c r="AK70" s="273"/>
      <c r="AL70" s="54"/>
      <c r="AM70" s="53">
        <v>0.25</v>
      </c>
      <c r="AN70" s="54">
        <v>0</v>
      </c>
      <c r="AO70" s="53"/>
      <c r="AP70" s="54">
        <v>0</v>
      </c>
      <c r="AQ70" s="53"/>
      <c r="AR70" s="54">
        <v>0</v>
      </c>
      <c r="AS70" s="53"/>
      <c r="AT70" s="54">
        <v>0</v>
      </c>
      <c r="AU70" s="53"/>
      <c r="AV70" s="56">
        <v>0</v>
      </c>
      <c r="AW70" s="53"/>
      <c r="AX70" s="57">
        <v>42370</v>
      </c>
      <c r="AY70" s="29">
        <v>3</v>
      </c>
      <c r="AZ70" s="431">
        <f>Tableau13[[#This Row],[Bailleurs]]-SUM(Tableau13[[#This Row],[LOGIREP]:[France Habitation]])</f>
        <v>10000</v>
      </c>
      <c r="BA70" s="34">
        <f>Tableau13[[#This Row],[Base de financement]]-Tableau13[[#This Row],[Subvention ANRU]]-Tableau13[[#This Row],[Ville]]-Tableau13[[#This Row],[Plaine Commune]]-Tableau13[[#This Row],[Bailleurs]]-Tableau13[[#This Row],[CDC]]-Tableau13[[#This Row],[Autres]]</f>
        <v>0</v>
      </c>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5"/>
      <c r="EH70" s="35"/>
      <c r="EI70" s="35"/>
      <c r="EJ70" s="35"/>
      <c r="EK70" s="35"/>
      <c r="EL70" s="35"/>
      <c r="EM70" s="35"/>
      <c r="EN70" s="35"/>
      <c r="EO70" s="35"/>
      <c r="EP70" s="35"/>
      <c r="EQ70" s="35"/>
      <c r="ER70" s="35"/>
      <c r="ES70" s="35"/>
      <c r="ET70" s="35"/>
    </row>
    <row r="71" spans="1:150" s="36" customFormat="1" ht="60" customHeight="1" x14ac:dyDescent="0.25">
      <c r="A71" s="21" t="s">
        <v>807</v>
      </c>
      <c r="B71" s="22" t="s">
        <v>911</v>
      </c>
      <c r="C71" s="37" t="s">
        <v>930</v>
      </c>
      <c r="D71" s="29" t="s">
        <v>931</v>
      </c>
      <c r="E71" s="485">
        <v>60</v>
      </c>
      <c r="F71" s="485">
        <v>40</v>
      </c>
      <c r="G71" s="485">
        <v>0</v>
      </c>
      <c r="H71" s="29" t="s">
        <v>827</v>
      </c>
      <c r="I71" s="24" t="s">
        <v>799</v>
      </c>
      <c r="J71" s="36" t="s">
        <v>831</v>
      </c>
      <c r="K71" s="267">
        <v>56000</v>
      </c>
      <c r="L71" s="53">
        <v>0.2</v>
      </c>
      <c r="M71" s="54">
        <v>67200</v>
      </c>
      <c r="N71" s="54">
        <v>56000</v>
      </c>
      <c r="O71" s="54">
        <v>28000</v>
      </c>
      <c r="P71" s="53">
        <v>0.5</v>
      </c>
      <c r="Q71" s="29" t="s">
        <v>932</v>
      </c>
      <c r="R71" s="54"/>
      <c r="S71" s="53"/>
      <c r="T71" s="55">
        <v>14000</v>
      </c>
      <c r="U71" s="53">
        <v>0.25</v>
      </c>
      <c r="V71" s="84">
        <v>14000</v>
      </c>
      <c r="W71" s="31"/>
      <c r="X71" s="288"/>
      <c r="Y71" s="288"/>
      <c r="Z71" s="31"/>
      <c r="AA71" s="31">
        <v>14000</v>
      </c>
      <c r="AB71" s="322"/>
      <c r="AC71" s="322"/>
      <c r="AD71" s="336"/>
      <c r="AE71" s="336"/>
      <c r="AF71" s="336"/>
      <c r="AG71" s="336"/>
      <c r="AH71" s="336"/>
      <c r="AI71" s="260"/>
      <c r="AJ71" s="31"/>
      <c r="AK71" s="260"/>
      <c r="AL71" s="31"/>
      <c r="AM71" s="53">
        <v>0.25</v>
      </c>
      <c r="AN71" s="54"/>
      <c r="AO71" s="53"/>
      <c r="AP71" s="54">
        <v>0</v>
      </c>
      <c r="AQ71" s="53"/>
      <c r="AR71" s="54">
        <v>0</v>
      </c>
      <c r="AS71" s="53"/>
      <c r="AT71" s="54">
        <v>0</v>
      </c>
      <c r="AU71" s="53"/>
      <c r="AV71" s="56">
        <v>0</v>
      </c>
      <c r="AW71" s="53"/>
      <c r="AX71" s="57"/>
      <c r="AY71" s="29"/>
      <c r="AZ71" s="431">
        <f>Tableau13[[#This Row],[Bailleurs]]-SUM(Tableau13[[#This Row],[LOGIREP]:[France Habitation]])</f>
        <v>0</v>
      </c>
      <c r="BA71" s="34">
        <f>Tableau13[[#This Row],[Base de financement]]-Tableau13[[#This Row],[Subvention ANRU]]-Tableau13[[#This Row],[Ville]]-Tableau13[[#This Row],[Plaine Commune]]-Tableau13[[#This Row],[Bailleurs]]-Tableau13[[#This Row],[CDC]]-Tableau13[[#This Row],[Autres]]</f>
        <v>0</v>
      </c>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5"/>
      <c r="EH71" s="35"/>
      <c r="EI71" s="35"/>
      <c r="EJ71" s="35"/>
      <c r="EK71" s="35"/>
      <c r="EL71" s="35"/>
      <c r="EM71" s="35"/>
      <c r="EN71" s="35"/>
      <c r="EO71" s="35"/>
      <c r="EP71" s="35"/>
      <c r="EQ71" s="35"/>
      <c r="ER71" s="35"/>
      <c r="ES71" s="35"/>
      <c r="ET71" s="35"/>
    </row>
    <row r="72" spans="1:150" s="36" customFormat="1" ht="60" customHeight="1" x14ac:dyDescent="0.25">
      <c r="A72" s="88" t="s">
        <v>33</v>
      </c>
      <c r="B72" s="74" t="s">
        <v>911</v>
      </c>
      <c r="C72" s="93" t="s">
        <v>937</v>
      </c>
      <c r="D72" s="29" t="s">
        <v>938</v>
      </c>
      <c r="E72" s="485">
        <v>100</v>
      </c>
      <c r="F72" s="485"/>
      <c r="G72" s="485"/>
      <c r="H72" s="29" t="s">
        <v>53</v>
      </c>
      <c r="I72" s="24" t="s">
        <v>799</v>
      </c>
      <c r="J72" s="36" t="s">
        <v>831</v>
      </c>
      <c r="K72" s="267">
        <v>78000</v>
      </c>
      <c r="L72" s="53">
        <v>0.2</v>
      </c>
      <c r="M72" s="70">
        <v>93600</v>
      </c>
      <c r="N72" s="54">
        <v>78000</v>
      </c>
      <c r="O72" s="54">
        <v>39000</v>
      </c>
      <c r="P72" s="53">
        <v>0.5</v>
      </c>
      <c r="Q72" s="29"/>
      <c r="R72" s="54">
        <v>0</v>
      </c>
      <c r="S72" s="53"/>
      <c r="T72" s="55">
        <f>39000</f>
        <v>39000</v>
      </c>
      <c r="U72" s="53">
        <v>0.25</v>
      </c>
      <c r="V72" s="84">
        <v>0</v>
      </c>
      <c r="W72" s="31"/>
      <c r="X72" s="288"/>
      <c r="Y72" s="288"/>
      <c r="Z72" s="31"/>
      <c r="AA72" s="31"/>
      <c r="AB72" s="322"/>
      <c r="AC72" s="322"/>
      <c r="AD72" s="336"/>
      <c r="AE72" s="336"/>
      <c r="AF72" s="336"/>
      <c r="AG72" s="336"/>
      <c r="AH72" s="336"/>
      <c r="AI72" s="260"/>
      <c r="AJ72" s="31"/>
      <c r="AK72" s="260"/>
      <c r="AL72" s="31"/>
      <c r="AM72" s="53">
        <v>0.25</v>
      </c>
      <c r="AN72" s="54">
        <v>0</v>
      </c>
      <c r="AO72" s="53"/>
      <c r="AP72" s="54"/>
      <c r="AQ72" s="53"/>
      <c r="AR72" s="54">
        <v>0</v>
      </c>
      <c r="AS72" s="53"/>
      <c r="AT72" s="54">
        <v>0</v>
      </c>
      <c r="AU72" s="53"/>
      <c r="AV72" s="117">
        <v>0</v>
      </c>
      <c r="AW72" s="53"/>
      <c r="AX72" s="57"/>
      <c r="AY72" s="29"/>
      <c r="AZ72" s="186">
        <f>Tableau13[[#This Row],[Bailleurs]]-SUM(Tableau13[[#This Row],[LOGIREP]:[France Habitation]])</f>
        <v>0</v>
      </c>
      <c r="BA72" s="34">
        <f>Tableau13[[#This Row],[Base de financement]]-Tableau13[[#This Row],[Subvention ANRU]]-Tableau13[[#This Row],[Ville]]-Tableau13[[#This Row],[Plaine Commune]]-Tableau13[[#This Row],[Bailleurs]]-Tableau13[[#This Row],[CDC]]-Tableau13[[#This Row],[Autres]]</f>
        <v>0</v>
      </c>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5"/>
      <c r="EH72" s="35"/>
      <c r="EI72" s="35"/>
      <c r="EJ72" s="35"/>
      <c r="EK72" s="35"/>
      <c r="EL72" s="35"/>
      <c r="EM72" s="35"/>
      <c r="EN72" s="35"/>
      <c r="EO72" s="35"/>
      <c r="EP72" s="35"/>
      <c r="EQ72" s="35"/>
      <c r="ER72" s="35"/>
      <c r="ES72" s="35"/>
      <c r="ET72" s="35"/>
    </row>
    <row r="73" spans="1:150" s="36" customFormat="1" ht="60" customHeight="1" x14ac:dyDescent="0.25">
      <c r="A73" s="21" t="s">
        <v>33</v>
      </c>
      <c r="B73" s="22" t="s">
        <v>911</v>
      </c>
      <c r="C73" s="59" t="s">
        <v>941</v>
      </c>
      <c r="D73" s="29" t="s">
        <v>942</v>
      </c>
      <c r="E73" s="485">
        <v>100</v>
      </c>
      <c r="F73" s="485"/>
      <c r="G73" s="485"/>
      <c r="H73" s="29" t="s">
        <v>827</v>
      </c>
      <c r="I73" s="24" t="s">
        <v>799</v>
      </c>
      <c r="J73" s="36" t="s">
        <v>831</v>
      </c>
      <c r="K73" s="267">
        <v>93000</v>
      </c>
      <c r="L73" s="53">
        <v>0.2</v>
      </c>
      <c r="M73" s="54">
        <v>111600</v>
      </c>
      <c r="N73" s="54">
        <v>93000</v>
      </c>
      <c r="O73" s="54">
        <v>46500</v>
      </c>
      <c r="P73" s="53">
        <v>0.5</v>
      </c>
      <c r="Q73" s="29"/>
      <c r="R73" s="54">
        <v>0</v>
      </c>
      <c r="S73" s="53"/>
      <c r="T73" s="55">
        <v>46500</v>
      </c>
      <c r="U73" s="53">
        <v>0.25</v>
      </c>
      <c r="V73" s="84">
        <v>0</v>
      </c>
      <c r="W73" s="31"/>
      <c r="X73" s="288"/>
      <c r="Y73" s="288"/>
      <c r="Z73" s="31"/>
      <c r="AA73" s="31"/>
      <c r="AB73" s="322"/>
      <c r="AC73" s="322"/>
      <c r="AD73" s="336"/>
      <c r="AE73" s="336"/>
      <c r="AF73" s="336"/>
      <c r="AG73" s="336"/>
      <c r="AH73" s="336"/>
      <c r="AI73" s="260"/>
      <c r="AJ73" s="31"/>
      <c r="AK73" s="260"/>
      <c r="AL73" s="31"/>
      <c r="AM73" s="53">
        <v>0.25</v>
      </c>
      <c r="AN73" s="54">
        <v>0</v>
      </c>
      <c r="AO73" s="53"/>
      <c r="AP73" s="54">
        <v>0</v>
      </c>
      <c r="AQ73" s="53"/>
      <c r="AR73" s="54">
        <v>0</v>
      </c>
      <c r="AS73" s="53"/>
      <c r="AT73" s="54">
        <v>0</v>
      </c>
      <c r="AU73" s="53"/>
      <c r="AV73" s="56">
        <v>0</v>
      </c>
      <c r="AW73" s="53"/>
      <c r="AX73" s="57">
        <v>42278</v>
      </c>
      <c r="AY73" s="121">
        <v>2</v>
      </c>
      <c r="AZ73" s="186">
        <f>Tableau13[[#This Row],[Bailleurs]]-SUM(Tableau13[[#This Row],[LOGIREP]:[France Habitation]])</f>
        <v>0</v>
      </c>
      <c r="BA73" s="34">
        <f>Tableau13[[#This Row],[Base de financement]]-Tableau13[[#This Row],[Subvention ANRU]]-Tableau13[[#This Row],[Ville]]-Tableau13[[#This Row],[Plaine Commune]]-Tableau13[[#This Row],[Bailleurs]]-Tableau13[[#This Row],[CDC]]-Tableau13[[#This Row],[Autres]]</f>
        <v>0</v>
      </c>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5"/>
      <c r="EH73" s="35"/>
      <c r="EI73" s="35"/>
      <c r="EJ73" s="35"/>
      <c r="EK73" s="35"/>
      <c r="EL73" s="35"/>
      <c r="EM73" s="35"/>
      <c r="EN73" s="35"/>
      <c r="EO73" s="35"/>
      <c r="EP73" s="35"/>
      <c r="EQ73" s="35"/>
      <c r="ER73" s="35"/>
      <c r="ES73" s="35"/>
      <c r="ET73" s="35"/>
    </row>
    <row r="74" spans="1:150" s="36" customFormat="1" ht="60" customHeight="1" x14ac:dyDescent="0.25">
      <c r="A74" s="21" t="s">
        <v>812</v>
      </c>
      <c r="B74" s="66" t="s">
        <v>911</v>
      </c>
      <c r="C74" s="59" t="s">
        <v>943</v>
      </c>
      <c r="D74" s="69" t="s">
        <v>945</v>
      </c>
      <c r="E74" s="481"/>
      <c r="F74" s="481"/>
      <c r="G74" s="481"/>
      <c r="H74" s="29" t="s">
        <v>827</v>
      </c>
      <c r="I74" s="24" t="s">
        <v>799</v>
      </c>
      <c r="J74" s="36" t="s">
        <v>831</v>
      </c>
      <c r="K74" s="267">
        <v>46000</v>
      </c>
      <c r="L74" s="53">
        <v>0.2</v>
      </c>
      <c r="M74" s="70">
        <f>K74*(1+L74)</f>
        <v>55200</v>
      </c>
      <c r="N74" s="54">
        <v>46000</v>
      </c>
      <c r="O74" s="54">
        <f>N74*P74</f>
        <v>23000</v>
      </c>
      <c r="P74" s="53">
        <v>0.5</v>
      </c>
      <c r="Q74" s="29" t="s">
        <v>946</v>
      </c>
      <c r="R74" s="54">
        <v>0</v>
      </c>
      <c r="S74" s="53"/>
      <c r="T74" s="55">
        <v>11500</v>
      </c>
      <c r="U74" s="53"/>
      <c r="V74" s="84">
        <v>11500</v>
      </c>
      <c r="W74" s="31"/>
      <c r="X74" s="288"/>
      <c r="Y74" s="288"/>
      <c r="Z74" s="31"/>
      <c r="AA74" s="31">
        <v>966</v>
      </c>
      <c r="AB74" s="322">
        <v>5906</v>
      </c>
      <c r="AC74" s="322"/>
      <c r="AD74" s="336"/>
      <c r="AE74" s="336"/>
      <c r="AF74" s="336"/>
      <c r="AG74" s="336"/>
      <c r="AH74" s="336">
        <v>2867</v>
      </c>
      <c r="AI74" s="260"/>
      <c r="AJ74" s="31">
        <v>1761</v>
      </c>
      <c r="AK74" s="260"/>
      <c r="AL74" s="31"/>
      <c r="AM74" s="53"/>
      <c r="AN74" s="54">
        <v>0</v>
      </c>
      <c r="AO74" s="53"/>
      <c r="AP74" s="54">
        <v>0</v>
      </c>
      <c r="AQ74" s="53"/>
      <c r="AR74" s="54">
        <v>0</v>
      </c>
      <c r="AS74" s="53"/>
      <c r="AT74" s="54">
        <v>0</v>
      </c>
      <c r="AU74" s="53"/>
      <c r="AV74" s="56">
        <v>0</v>
      </c>
      <c r="AW74" s="53"/>
      <c r="AX74" s="57">
        <v>42372</v>
      </c>
      <c r="AY74" s="29">
        <v>6</v>
      </c>
      <c r="AZ74" s="431">
        <f>Tableau13[[#This Row],[Bailleurs]]-SUM(Tableau13[[#This Row],[LOGIREP]:[France Habitation]])</f>
        <v>0</v>
      </c>
      <c r="BA74" s="34">
        <f>Tableau13[[#This Row],[Base de financement]]-Tableau13[[#This Row],[Subvention ANRU]]-Tableau13[[#This Row],[Ville]]-Tableau13[[#This Row],[Plaine Commune]]-Tableau13[[#This Row],[Bailleurs]]-Tableau13[[#This Row],[CDC]]-Tableau13[[#This Row],[Autres]]</f>
        <v>0</v>
      </c>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5"/>
      <c r="EH74" s="35"/>
      <c r="EI74" s="35"/>
      <c r="EJ74" s="35"/>
      <c r="EK74" s="35"/>
      <c r="EL74" s="35"/>
      <c r="EM74" s="35"/>
      <c r="EN74" s="35"/>
      <c r="EO74" s="35"/>
      <c r="EP74" s="35"/>
      <c r="EQ74" s="35"/>
      <c r="ER74" s="35"/>
      <c r="ES74" s="35"/>
      <c r="ET74" s="35"/>
    </row>
    <row r="75" spans="1:150" s="36" customFormat="1" ht="60" customHeight="1" x14ac:dyDescent="0.25">
      <c r="A75" s="21" t="s">
        <v>812</v>
      </c>
      <c r="B75" s="66" t="s">
        <v>911</v>
      </c>
      <c r="C75" s="37" t="s">
        <v>947</v>
      </c>
      <c r="D75" s="69" t="s">
        <v>949</v>
      </c>
      <c r="E75" s="481"/>
      <c r="F75" s="481"/>
      <c r="G75" s="481"/>
      <c r="H75" s="66" t="s">
        <v>827</v>
      </c>
      <c r="I75" s="24" t="s">
        <v>799</v>
      </c>
      <c r="J75" s="36" t="s">
        <v>831</v>
      </c>
      <c r="K75" s="267">
        <v>46000</v>
      </c>
      <c r="L75" s="53">
        <v>0.2</v>
      </c>
      <c r="M75" s="70">
        <f>M73</f>
        <v>111600</v>
      </c>
      <c r="N75" s="105">
        <v>46000</v>
      </c>
      <c r="O75" s="54">
        <f>N75*P75</f>
        <v>23000</v>
      </c>
      <c r="P75" s="71">
        <v>0.5</v>
      </c>
      <c r="Q75" s="29" t="s">
        <v>946</v>
      </c>
      <c r="R75" s="54">
        <v>0</v>
      </c>
      <c r="S75" s="71"/>
      <c r="T75" s="55">
        <v>11500</v>
      </c>
      <c r="U75" s="53"/>
      <c r="V75" s="84">
        <v>11500</v>
      </c>
      <c r="W75" s="31"/>
      <c r="X75" s="288"/>
      <c r="Y75" s="288"/>
      <c r="Z75" s="31"/>
      <c r="AA75" s="31"/>
      <c r="AB75" s="322"/>
      <c r="AC75" s="322">
        <v>7160</v>
      </c>
      <c r="AD75" s="336">
        <v>1306</v>
      </c>
      <c r="AE75" s="336">
        <v>854</v>
      </c>
      <c r="AF75" s="336">
        <v>1601</v>
      </c>
      <c r="AG75" s="336">
        <v>579</v>
      </c>
      <c r="AH75" s="336"/>
      <c r="AI75" s="260"/>
      <c r="AJ75" s="31"/>
      <c r="AK75" s="260"/>
      <c r="AL75" s="31"/>
      <c r="AM75" s="53"/>
      <c r="AN75" s="54">
        <v>0</v>
      </c>
      <c r="AO75" s="71"/>
      <c r="AP75" s="54">
        <v>0</v>
      </c>
      <c r="AQ75" s="71"/>
      <c r="AR75" s="54">
        <v>0</v>
      </c>
      <c r="AS75" s="71"/>
      <c r="AT75" s="54">
        <v>0</v>
      </c>
      <c r="AU75" s="71"/>
      <c r="AV75" s="106">
        <v>0</v>
      </c>
      <c r="AW75" s="71"/>
      <c r="AX75" s="73">
        <v>42371</v>
      </c>
      <c r="AY75" s="74">
        <v>6</v>
      </c>
      <c r="AZ75" s="34">
        <f>Tableau13[[#This Row],[Bailleurs]]-SUM(Tableau13[[#This Row],[LOGIREP]:[France Habitation]])</f>
        <v>0</v>
      </c>
      <c r="BA75" s="34">
        <f>Tableau13[[#This Row],[Base de financement]]-Tableau13[[#This Row],[Subvention ANRU]]-Tableau13[[#This Row],[Ville]]-Tableau13[[#This Row],[Plaine Commune]]-Tableau13[[#This Row],[Bailleurs]]-Tableau13[[#This Row],[CDC]]-Tableau13[[#This Row],[Autres]]</f>
        <v>0</v>
      </c>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5"/>
      <c r="EH75" s="35"/>
      <c r="EI75" s="35"/>
      <c r="EJ75" s="35"/>
      <c r="EK75" s="35"/>
      <c r="EL75" s="35"/>
      <c r="EM75" s="35"/>
      <c r="EN75" s="35"/>
      <c r="EO75" s="35"/>
      <c r="EP75" s="35"/>
      <c r="EQ75" s="35"/>
      <c r="ER75" s="35"/>
      <c r="ES75" s="35"/>
      <c r="ET75" s="35"/>
    </row>
    <row r="76" spans="1:150" s="124" customFormat="1" ht="60" customHeight="1" x14ac:dyDescent="0.25">
      <c r="A76" s="65" t="s">
        <v>585</v>
      </c>
      <c r="B76" s="66" t="s">
        <v>911</v>
      </c>
      <c r="C76" s="58" t="s">
        <v>918</v>
      </c>
      <c r="D76" s="46" t="s">
        <v>919</v>
      </c>
      <c r="E76" s="480"/>
      <c r="F76" s="480"/>
      <c r="G76" s="480"/>
      <c r="H76" s="47" t="s">
        <v>827</v>
      </c>
      <c r="I76" s="24" t="s">
        <v>799</v>
      </c>
      <c r="J76" s="36" t="s">
        <v>831</v>
      </c>
      <c r="K76" s="268">
        <f>113250+22750</f>
        <v>136000</v>
      </c>
      <c r="L76" s="41">
        <v>0.2</v>
      </c>
      <c r="M76" s="49">
        <f>K76*(1+L76)</f>
        <v>163200</v>
      </c>
      <c r="N76" s="48">
        <f>Tableau13[[#This Row],[Coût HT]]</f>
        <v>136000</v>
      </c>
      <c r="O76" s="31">
        <f>K76*P76</f>
        <v>68000</v>
      </c>
      <c r="P76" s="41">
        <v>0.5</v>
      </c>
      <c r="Q76" s="46"/>
      <c r="R76" s="31">
        <f>K76*S76</f>
        <v>0</v>
      </c>
      <c r="S76" s="41"/>
      <c r="T76" s="30">
        <f>68000</f>
        <v>68000</v>
      </c>
      <c r="U76" s="41">
        <v>0.25</v>
      </c>
      <c r="V76" s="193"/>
      <c r="W76" s="31"/>
      <c r="X76" s="288"/>
      <c r="Y76" s="288"/>
      <c r="Z76" s="31"/>
      <c r="AA76" s="31"/>
      <c r="AB76" s="322"/>
      <c r="AC76" s="322"/>
      <c r="AD76" s="336"/>
      <c r="AE76" s="336"/>
      <c r="AF76" s="336"/>
      <c r="AG76" s="336"/>
      <c r="AH76" s="336"/>
      <c r="AI76" s="260"/>
      <c r="AJ76" s="31"/>
      <c r="AK76" s="260"/>
      <c r="AL76" s="31"/>
      <c r="AM76" s="41">
        <v>0.25</v>
      </c>
      <c r="AN76" s="31">
        <f>K76*AO76</f>
        <v>0</v>
      </c>
      <c r="AO76" s="41"/>
      <c r="AP76" s="31">
        <f>K76*AQ76</f>
        <v>0</v>
      </c>
      <c r="AQ76" s="41"/>
      <c r="AR76" s="31">
        <f>K76*AS76</f>
        <v>0</v>
      </c>
      <c r="AS76" s="41"/>
      <c r="AT76" s="31">
        <f>K76*AU76</f>
        <v>0</v>
      </c>
      <c r="AU76" s="41"/>
      <c r="AV76" s="50">
        <f>K76*AW76</f>
        <v>0</v>
      </c>
      <c r="AW76" s="41"/>
      <c r="AX76" s="51">
        <v>42376</v>
      </c>
      <c r="AY76" s="46">
        <v>3</v>
      </c>
      <c r="AZ76" s="34">
        <f>Tableau13[[#This Row],[Bailleurs]]-SUM(Tableau13[[#This Row],[LOGIREP]:[France Habitation]])</f>
        <v>0</v>
      </c>
      <c r="BA76" s="122">
        <f>Tableau13[[#This Row],[Base de financement]]-Tableau13[[#This Row],[Subvention ANRU]]-Tableau13[[#This Row],[Ville]]-Tableau13[[#This Row],[Plaine Commune]]-Tableau13[[#This Row],[Bailleurs]]-Tableau13[[#This Row],[CDC]]-Tableau13[[#This Row],[Autres]]</f>
        <v>0</v>
      </c>
      <c r="BB76" s="122"/>
      <c r="BC76" s="122"/>
      <c r="BD76" s="122"/>
      <c r="BE76" s="122"/>
      <c r="BF76" s="122"/>
      <c r="BG76" s="122"/>
      <c r="BH76" s="122"/>
      <c r="BI76" s="122"/>
      <c r="BJ76" s="122"/>
      <c r="BK76" s="122"/>
      <c r="BL76" s="122"/>
      <c r="BM76" s="122"/>
      <c r="BN76" s="122"/>
      <c r="BO76" s="122"/>
      <c r="BP76" s="122"/>
      <c r="BQ76" s="122"/>
      <c r="BR76" s="122"/>
      <c r="BS76" s="122"/>
      <c r="BT76" s="122"/>
      <c r="BU76" s="122"/>
      <c r="BV76" s="122"/>
      <c r="BW76" s="122"/>
      <c r="BX76" s="122"/>
      <c r="BY76" s="122"/>
      <c r="BZ76" s="122"/>
      <c r="CA76" s="122"/>
      <c r="CB76" s="122"/>
      <c r="CC76" s="122"/>
      <c r="CD76" s="122"/>
      <c r="CE76" s="122"/>
      <c r="CF76" s="122"/>
      <c r="CG76" s="122"/>
      <c r="CH76" s="122"/>
      <c r="CI76" s="122"/>
      <c r="CJ76" s="122"/>
      <c r="CK76" s="122"/>
      <c r="CL76" s="122"/>
      <c r="CM76" s="122"/>
      <c r="CN76" s="122"/>
      <c r="CO76" s="122"/>
      <c r="CP76" s="122"/>
      <c r="CQ76" s="122"/>
      <c r="CR76" s="122"/>
      <c r="CS76" s="122"/>
      <c r="CT76" s="122"/>
      <c r="CU76" s="122"/>
      <c r="CV76" s="122"/>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3"/>
      <c r="EH76" s="123"/>
      <c r="EI76" s="123"/>
      <c r="EJ76" s="123"/>
      <c r="EK76" s="123"/>
      <c r="EL76" s="123"/>
      <c r="EM76" s="123"/>
      <c r="EN76" s="123"/>
      <c r="EO76" s="123"/>
      <c r="EP76" s="123"/>
      <c r="EQ76" s="123"/>
      <c r="ER76" s="123"/>
      <c r="ES76" s="123"/>
      <c r="ET76" s="123"/>
    </row>
    <row r="77" spans="1:150" s="36" customFormat="1" ht="60" customHeight="1" x14ac:dyDescent="0.25">
      <c r="A77" s="21" t="s">
        <v>163</v>
      </c>
      <c r="B77" s="22" t="s">
        <v>911</v>
      </c>
      <c r="C77" s="59" t="s">
        <v>933</v>
      </c>
      <c r="D77" s="69" t="s">
        <v>934</v>
      </c>
      <c r="E77" s="481"/>
      <c r="F77" s="481"/>
      <c r="G77" s="481"/>
      <c r="H77" s="29" t="s">
        <v>827</v>
      </c>
      <c r="I77" s="24" t="s">
        <v>799</v>
      </c>
      <c r="J77" s="36" t="s">
        <v>831</v>
      </c>
      <c r="K77" s="267">
        <v>30000</v>
      </c>
      <c r="L77" s="53">
        <v>0.2</v>
      </c>
      <c r="M77" s="70">
        <v>36000</v>
      </c>
      <c r="N77" s="52">
        <v>30000</v>
      </c>
      <c r="O77" s="110">
        <v>15000</v>
      </c>
      <c r="P77" s="71">
        <v>0.5</v>
      </c>
      <c r="Q77" s="29"/>
      <c r="R77" s="54">
        <v>0</v>
      </c>
      <c r="S77" s="71"/>
      <c r="T77" s="55">
        <f>N77*U77</f>
        <v>15000</v>
      </c>
      <c r="U77" s="53">
        <v>0.5</v>
      </c>
      <c r="V77" s="84">
        <v>0</v>
      </c>
      <c r="W77" s="31"/>
      <c r="X77" s="288"/>
      <c r="Y77" s="288"/>
      <c r="Z77" s="31"/>
      <c r="AA77" s="31"/>
      <c r="AB77" s="322"/>
      <c r="AC77" s="322"/>
      <c r="AD77" s="336"/>
      <c r="AE77" s="336"/>
      <c r="AF77" s="336"/>
      <c r="AG77" s="336"/>
      <c r="AH77" s="336"/>
      <c r="AI77" s="260"/>
      <c r="AJ77" s="31"/>
      <c r="AK77" s="260"/>
      <c r="AL77" s="31"/>
      <c r="AM77" s="53">
        <v>0.25</v>
      </c>
      <c r="AN77" s="54">
        <v>0</v>
      </c>
      <c r="AO77" s="71"/>
      <c r="AP77" s="54">
        <v>0</v>
      </c>
      <c r="AQ77" s="71"/>
      <c r="AR77" s="54">
        <v>0</v>
      </c>
      <c r="AS77" s="71"/>
      <c r="AT77" s="54">
        <v>0</v>
      </c>
      <c r="AU77" s="71"/>
      <c r="AV77" s="72">
        <v>0</v>
      </c>
      <c r="AW77" s="71"/>
      <c r="AX77" s="73"/>
      <c r="AY77" s="74"/>
      <c r="AZ77" s="34">
        <f>Tableau13[[#This Row],[Bailleurs]]-SUM(Tableau13[[#This Row],[LOGIREP]:[France Habitation]])</f>
        <v>0</v>
      </c>
      <c r="BA77" s="34">
        <f>Tableau13[[#This Row],[Base de financement]]-Tableau13[[#This Row],[Subvention ANRU]]-Tableau13[[#This Row],[Ville]]-Tableau13[[#This Row],[Plaine Commune]]-Tableau13[[#This Row],[Bailleurs]]-Tableau13[[#This Row],[CDC]]-Tableau13[[#This Row],[Autres]]</f>
        <v>0</v>
      </c>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5"/>
      <c r="EH77" s="35"/>
      <c r="EI77" s="35"/>
      <c r="EJ77" s="35"/>
      <c r="EK77" s="35"/>
      <c r="EL77" s="35"/>
      <c r="EM77" s="35"/>
      <c r="EN77" s="35"/>
      <c r="EO77" s="35"/>
      <c r="EP77" s="35"/>
      <c r="EQ77" s="35"/>
      <c r="ER77" s="35"/>
      <c r="ES77" s="35"/>
      <c r="ET77" s="35"/>
    </row>
    <row r="78" spans="1:150" s="36" customFormat="1" ht="60" customHeight="1" x14ac:dyDescent="0.25">
      <c r="A78" s="21" t="s">
        <v>163</v>
      </c>
      <c r="B78" s="22" t="s">
        <v>911</v>
      </c>
      <c r="C78" s="59" t="s">
        <v>935</v>
      </c>
      <c r="D78" s="111" t="s">
        <v>936</v>
      </c>
      <c r="E78" s="491"/>
      <c r="F78" s="491"/>
      <c r="G78" s="491"/>
      <c r="H78" s="112" t="s">
        <v>827</v>
      </c>
      <c r="I78" s="24" t="s">
        <v>799</v>
      </c>
      <c r="J78" s="36" t="s">
        <v>831</v>
      </c>
      <c r="K78" s="269">
        <v>10000</v>
      </c>
      <c r="L78" s="114">
        <v>0.2</v>
      </c>
      <c r="M78" s="115">
        <v>12000</v>
      </c>
      <c r="N78" s="113">
        <v>10000</v>
      </c>
      <c r="O78" s="110">
        <v>5000</v>
      </c>
      <c r="P78" s="114">
        <v>0.5</v>
      </c>
      <c r="Q78" s="29"/>
      <c r="R78" s="54">
        <v>0</v>
      </c>
      <c r="S78" s="53"/>
      <c r="T78" s="55">
        <f>N78*U78</f>
        <v>2500</v>
      </c>
      <c r="U78" s="53">
        <v>0.25</v>
      </c>
      <c r="V78" s="84">
        <f>K78*AM78</f>
        <v>2500</v>
      </c>
      <c r="W78" s="31"/>
      <c r="X78" s="288"/>
      <c r="Y78" s="288"/>
      <c r="Z78" s="31"/>
      <c r="AA78" s="31">
        <v>2500</v>
      </c>
      <c r="AB78" s="322"/>
      <c r="AC78" s="322"/>
      <c r="AD78" s="336"/>
      <c r="AE78" s="336"/>
      <c r="AF78" s="336"/>
      <c r="AG78" s="336"/>
      <c r="AH78" s="336"/>
      <c r="AI78" s="260"/>
      <c r="AJ78" s="31"/>
      <c r="AK78" s="260"/>
      <c r="AL78" s="31"/>
      <c r="AM78" s="53">
        <v>0.25</v>
      </c>
      <c r="AN78" s="110">
        <v>0</v>
      </c>
      <c r="AO78" s="114"/>
      <c r="AP78" s="110">
        <v>0</v>
      </c>
      <c r="AQ78" s="114"/>
      <c r="AR78" s="110">
        <v>0</v>
      </c>
      <c r="AS78" s="114"/>
      <c r="AT78" s="110">
        <v>0</v>
      </c>
      <c r="AU78" s="114"/>
      <c r="AV78" s="120"/>
      <c r="AW78" s="112"/>
      <c r="AX78" s="57">
        <v>42278</v>
      </c>
      <c r="AY78" s="29">
        <v>1</v>
      </c>
      <c r="AZ78" s="122">
        <f>Tableau13[[#This Row],[Bailleurs]]-SUM(Tableau13[[#This Row],[LOGIREP]:[France Habitation]])</f>
        <v>0</v>
      </c>
      <c r="BA78" s="34">
        <f>Tableau13[[#This Row],[Base de financement]]-Tableau13[[#This Row],[Subvention ANRU]]-Tableau13[[#This Row],[Ville]]-Tableau13[[#This Row],[Plaine Commune]]-Tableau13[[#This Row],[Bailleurs]]-Tableau13[[#This Row],[CDC]]-Tableau13[[#This Row],[Autres]]</f>
        <v>0</v>
      </c>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5"/>
      <c r="EH78" s="35"/>
      <c r="EI78" s="35"/>
      <c r="EJ78" s="35"/>
      <c r="EK78" s="35"/>
      <c r="EL78" s="35"/>
      <c r="EM78" s="35"/>
      <c r="EN78" s="35"/>
      <c r="EO78" s="35"/>
      <c r="EP78" s="35"/>
      <c r="EQ78" s="35"/>
      <c r="ER78" s="35"/>
      <c r="ES78" s="35"/>
      <c r="ET78" s="35"/>
    </row>
    <row r="79" spans="1:150" s="36" customFormat="1" ht="60" customHeight="1" x14ac:dyDescent="0.25">
      <c r="A79" s="21" t="s">
        <v>238</v>
      </c>
      <c r="B79" s="22" t="s">
        <v>911</v>
      </c>
      <c r="C79" s="37" t="s">
        <v>914</v>
      </c>
      <c r="D79" s="29" t="s">
        <v>915</v>
      </c>
      <c r="E79" s="485"/>
      <c r="F79" s="485"/>
      <c r="G79" s="485"/>
      <c r="H79" s="29" t="s">
        <v>827</v>
      </c>
      <c r="I79" s="24" t="s">
        <v>799</v>
      </c>
      <c r="J79" s="36" t="s">
        <v>831</v>
      </c>
      <c r="K79" s="134">
        <v>44000</v>
      </c>
      <c r="L79" s="53">
        <v>0.2</v>
      </c>
      <c r="M79" s="70">
        <f>K79*(1+L79)</f>
        <v>52800</v>
      </c>
      <c r="N79" s="54">
        <f>K79</f>
        <v>44000</v>
      </c>
      <c r="O79" s="54">
        <f>N79*P79</f>
        <v>22000</v>
      </c>
      <c r="P79" s="53">
        <v>0.5</v>
      </c>
      <c r="Q79" s="29"/>
      <c r="R79" s="54">
        <f>S79*N79</f>
        <v>0</v>
      </c>
      <c r="S79" s="53"/>
      <c r="T79" s="55">
        <f>N79*U79</f>
        <v>11000</v>
      </c>
      <c r="U79" s="53">
        <v>0.25</v>
      </c>
      <c r="V79" s="40">
        <f>N79*AM79</f>
        <v>11000</v>
      </c>
      <c r="W79" s="54"/>
      <c r="X79" s="289"/>
      <c r="Y79" s="289"/>
      <c r="Z79" s="192">
        <v>11000</v>
      </c>
      <c r="AA79" s="54"/>
      <c r="AB79" s="320"/>
      <c r="AC79" s="320"/>
      <c r="AD79" s="334"/>
      <c r="AE79" s="334"/>
      <c r="AF79" s="334"/>
      <c r="AG79" s="334"/>
      <c r="AH79" s="334"/>
      <c r="AI79" s="273"/>
      <c r="AJ79" s="54"/>
      <c r="AK79" s="273"/>
      <c r="AL79" s="54"/>
      <c r="AM79" s="53">
        <v>0.25</v>
      </c>
      <c r="AN79" s="54">
        <f>N79*AO79</f>
        <v>0</v>
      </c>
      <c r="AO79" s="53"/>
      <c r="AP79" s="54">
        <f>N79*AQ79</f>
        <v>0</v>
      </c>
      <c r="AQ79" s="53"/>
      <c r="AR79" s="54">
        <f>N79*AS79</f>
        <v>0</v>
      </c>
      <c r="AS79" s="53"/>
      <c r="AT79" s="54">
        <f>N79*AU79</f>
        <v>0</v>
      </c>
      <c r="AU79" s="53"/>
      <c r="AV79" s="56">
        <f>N79*AW79</f>
        <v>0</v>
      </c>
      <c r="AW79" s="53"/>
      <c r="AX79" s="57"/>
      <c r="AY79" s="29"/>
      <c r="AZ79" s="34">
        <f>Tableau13[[#This Row],[Bailleurs]]-SUM(Tableau13[[#This Row],[LOGIREP]:[France Habitation]])</f>
        <v>0</v>
      </c>
      <c r="BA79" s="34">
        <f>Tableau13[[#This Row],[Base de financement]]-Tableau13[[#This Row],[Subvention ANRU]]-Tableau13[[#This Row],[Ville]]-Tableau13[[#This Row],[Plaine Commune]]-Tableau13[[#This Row],[Bailleurs]]-Tableau13[[#This Row],[CDC]]-Tableau13[[#This Row],[Autres]]</f>
        <v>0</v>
      </c>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5"/>
      <c r="EH79" s="35"/>
      <c r="EI79" s="35"/>
      <c r="EJ79" s="35"/>
      <c r="EK79" s="35"/>
      <c r="EL79" s="35"/>
      <c r="EM79" s="35"/>
      <c r="EN79" s="35"/>
      <c r="EO79" s="35"/>
      <c r="EP79" s="35"/>
      <c r="EQ79" s="35"/>
      <c r="ER79" s="35"/>
      <c r="ES79" s="35"/>
      <c r="ET79" s="35"/>
    </row>
    <row r="80" spans="1:150" s="36" customFormat="1" ht="60" customHeight="1" x14ac:dyDescent="0.25">
      <c r="A80" s="21" t="s">
        <v>655</v>
      </c>
      <c r="B80" s="22" t="s">
        <v>911</v>
      </c>
      <c r="C80" s="23" t="s">
        <v>912</v>
      </c>
      <c r="D80" s="24" t="s">
        <v>913</v>
      </c>
      <c r="E80" s="488"/>
      <c r="F80" s="488"/>
      <c r="G80" s="488"/>
      <c r="H80" s="24" t="s">
        <v>827</v>
      </c>
      <c r="I80" s="24" t="s">
        <v>799</v>
      </c>
      <c r="J80" s="36" t="s">
        <v>831</v>
      </c>
      <c r="K80" s="228">
        <v>75000</v>
      </c>
      <c r="L80" s="26">
        <v>0.2</v>
      </c>
      <c r="M80" s="25">
        <f>K80*(1+L80)</f>
        <v>90000</v>
      </c>
      <c r="N80" s="27">
        <f>K80</f>
        <v>75000</v>
      </c>
      <c r="O80" s="27">
        <f>N80*P80</f>
        <v>37500</v>
      </c>
      <c r="P80" s="28">
        <v>0.5</v>
      </c>
      <c r="Q80" s="24"/>
      <c r="R80" s="27"/>
      <c r="S80" s="24"/>
      <c r="T80" s="89">
        <f>N80*U80</f>
        <v>11250</v>
      </c>
      <c r="U80" s="28">
        <v>0.15</v>
      </c>
      <c r="V80" s="434">
        <f>N80*AM80</f>
        <v>26250</v>
      </c>
      <c r="W80" s="434"/>
      <c r="X80" s="286"/>
      <c r="Y80" s="286"/>
      <c r="Z80" s="27">
        <v>3000</v>
      </c>
      <c r="AA80" s="27"/>
      <c r="AB80" s="318"/>
      <c r="AC80" s="318"/>
      <c r="AD80" s="332"/>
      <c r="AE80" s="332"/>
      <c r="AF80" s="332"/>
      <c r="AG80" s="332"/>
      <c r="AH80" s="332"/>
      <c r="AI80" s="256"/>
      <c r="AJ80" s="27">
        <v>8250</v>
      </c>
      <c r="AK80" s="256"/>
      <c r="AL80" s="27">
        <v>15000</v>
      </c>
      <c r="AM80" s="28">
        <v>0.35</v>
      </c>
      <c r="AN80" s="27"/>
      <c r="AO80" s="28"/>
      <c r="AP80" s="27"/>
      <c r="AQ80" s="28"/>
      <c r="AR80" s="27"/>
      <c r="AS80" s="28"/>
      <c r="AT80" s="27"/>
      <c r="AU80" s="28"/>
      <c r="AV80" s="28"/>
      <c r="AW80" s="28"/>
      <c r="AX80" s="33">
        <v>42370</v>
      </c>
      <c r="AY80" s="24">
        <v>1</v>
      </c>
      <c r="AZ80" s="34">
        <f>Tableau13[[#This Row],[Bailleurs]]-SUM(Tableau13[[#This Row],[LOGIREP]:[France Habitation]])</f>
        <v>0</v>
      </c>
      <c r="BA80" s="34">
        <f>Tableau13[[#This Row],[Base de financement]]-Tableau13[[#This Row],[Subvention ANRU]]-Tableau13[[#This Row],[Ville]]-Tableau13[[#This Row],[Plaine Commune]]-Tableau13[[#This Row],[Bailleurs]]-Tableau13[[#This Row],[CDC]]-Tableau13[[#This Row],[Autres]]</f>
        <v>0</v>
      </c>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5"/>
      <c r="EH80" s="35"/>
      <c r="EI80" s="35"/>
      <c r="EJ80" s="35"/>
      <c r="EK80" s="35"/>
      <c r="EL80" s="35"/>
      <c r="EM80" s="35"/>
      <c r="EN80" s="35"/>
      <c r="EO80" s="35"/>
      <c r="EP80" s="35"/>
      <c r="EQ80" s="35"/>
      <c r="ER80" s="35"/>
      <c r="ES80" s="35"/>
      <c r="ET80" s="35"/>
    </row>
    <row r="81" spans="1:150" s="36" customFormat="1" ht="60" customHeight="1" x14ac:dyDescent="0.25">
      <c r="A81" s="21" t="s">
        <v>238</v>
      </c>
      <c r="B81" s="22" t="s">
        <v>911</v>
      </c>
      <c r="C81" s="37" t="s">
        <v>916</v>
      </c>
      <c r="D81" s="29" t="s">
        <v>917</v>
      </c>
      <c r="E81" s="485"/>
      <c r="F81" s="485"/>
      <c r="G81" s="485"/>
      <c r="H81" s="29" t="s">
        <v>827</v>
      </c>
      <c r="I81" s="24" t="s">
        <v>799</v>
      </c>
      <c r="J81" s="36" t="s">
        <v>831</v>
      </c>
      <c r="K81" s="52">
        <v>65000</v>
      </c>
      <c r="L81" s="53">
        <v>0.2</v>
      </c>
      <c r="M81" s="70">
        <v>78000</v>
      </c>
      <c r="N81" s="54">
        <v>65000</v>
      </c>
      <c r="O81" s="54">
        <v>32500</v>
      </c>
      <c r="P81" s="53">
        <v>0.5</v>
      </c>
      <c r="Q81" s="29"/>
      <c r="R81" s="54">
        <v>0</v>
      </c>
      <c r="S81" s="53"/>
      <c r="T81" s="55">
        <v>16250</v>
      </c>
      <c r="U81" s="53">
        <v>0.25</v>
      </c>
      <c r="V81" s="40">
        <v>16250</v>
      </c>
      <c r="W81" s="54"/>
      <c r="X81" s="289"/>
      <c r="Y81" s="289"/>
      <c r="Z81" s="192">
        <v>16250</v>
      </c>
      <c r="AA81" s="54"/>
      <c r="AB81" s="320"/>
      <c r="AC81" s="320"/>
      <c r="AD81" s="334"/>
      <c r="AE81" s="334"/>
      <c r="AF81" s="334"/>
      <c r="AG81" s="334"/>
      <c r="AH81" s="334"/>
      <c r="AI81" s="273"/>
      <c r="AJ81" s="54"/>
      <c r="AK81" s="273"/>
      <c r="AL81" s="54"/>
      <c r="AM81" s="53">
        <v>0.25</v>
      </c>
      <c r="AN81" s="54">
        <v>0</v>
      </c>
      <c r="AO81" s="53"/>
      <c r="AP81" s="54">
        <v>0</v>
      </c>
      <c r="AQ81" s="53"/>
      <c r="AR81" s="54">
        <v>0</v>
      </c>
      <c r="AS81" s="53"/>
      <c r="AT81" s="54">
        <v>0</v>
      </c>
      <c r="AU81" s="53"/>
      <c r="AV81" s="56">
        <v>0</v>
      </c>
      <c r="AW81" s="53"/>
      <c r="AX81" s="57">
        <v>42401</v>
      </c>
      <c r="AY81" s="29">
        <v>3</v>
      </c>
      <c r="AZ81" s="34">
        <f>Tableau13[[#This Row],[Bailleurs]]-SUM(Tableau13[[#This Row],[LOGIREP]:[France Habitation]])</f>
        <v>0</v>
      </c>
      <c r="BA81" s="34">
        <f>Tableau13[[#This Row],[Base de financement]]-Tableau13[[#This Row],[Subvention ANRU]]-Tableau13[[#This Row],[Ville]]-Tableau13[[#This Row],[Plaine Commune]]-Tableau13[[#This Row],[Bailleurs]]-Tableau13[[#This Row],[CDC]]-Tableau13[[#This Row],[Autres]]</f>
        <v>0</v>
      </c>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5"/>
      <c r="EH81" s="35"/>
      <c r="EI81" s="35"/>
      <c r="EJ81" s="35"/>
      <c r="EK81" s="35"/>
      <c r="EL81" s="35"/>
      <c r="EM81" s="35"/>
      <c r="EN81" s="35"/>
      <c r="EO81" s="35"/>
      <c r="EP81" s="35"/>
      <c r="EQ81" s="35"/>
      <c r="ER81" s="35"/>
      <c r="ES81" s="35"/>
      <c r="ET81" s="35"/>
    </row>
    <row r="82" spans="1:150" s="36" customFormat="1" ht="60" customHeight="1" x14ac:dyDescent="0.25">
      <c r="A82" s="21" t="s">
        <v>418</v>
      </c>
      <c r="B82" s="22" t="s">
        <v>911</v>
      </c>
      <c r="C82" s="59" t="s">
        <v>920</v>
      </c>
      <c r="D82" s="29" t="s">
        <v>921</v>
      </c>
      <c r="E82" s="485"/>
      <c r="F82" s="485"/>
      <c r="G82" s="485"/>
      <c r="H82" s="29" t="s">
        <v>827</v>
      </c>
      <c r="I82" s="24" t="s">
        <v>799</v>
      </c>
      <c r="J82" s="36" t="s">
        <v>831</v>
      </c>
      <c r="K82" s="52">
        <v>0</v>
      </c>
      <c r="L82" s="53">
        <v>0</v>
      </c>
      <c r="M82" s="70">
        <v>0</v>
      </c>
      <c r="N82" s="54">
        <v>0</v>
      </c>
      <c r="O82" s="54">
        <v>0</v>
      </c>
      <c r="P82" s="53">
        <v>0</v>
      </c>
      <c r="Q82" s="29" t="s">
        <v>922</v>
      </c>
      <c r="R82" s="54">
        <v>0</v>
      </c>
      <c r="S82" s="53">
        <v>0</v>
      </c>
      <c r="T82" s="55">
        <v>0</v>
      </c>
      <c r="U82" s="53">
        <v>0.35</v>
      </c>
      <c r="V82" s="54">
        <v>0</v>
      </c>
      <c r="W82" s="54"/>
      <c r="X82" s="289"/>
      <c r="Y82" s="289"/>
      <c r="Z82" s="54"/>
      <c r="AA82" s="54">
        <f>Tableau13[[#This Row],[Bailleurs]]*12.5%</f>
        <v>0</v>
      </c>
      <c r="AB82" s="320"/>
      <c r="AC82" s="320"/>
      <c r="AD82" s="334"/>
      <c r="AE82" s="334"/>
      <c r="AF82" s="334"/>
      <c r="AG82" s="334"/>
      <c r="AH82" s="334"/>
      <c r="AI82" s="273"/>
      <c r="AJ82" s="54"/>
      <c r="AK82" s="273"/>
      <c r="AL82" s="54"/>
      <c r="AM82" s="53">
        <v>0.25</v>
      </c>
      <c r="AN82" s="54">
        <v>0</v>
      </c>
      <c r="AO82" s="53">
        <v>0</v>
      </c>
      <c r="AP82" s="54">
        <v>0</v>
      </c>
      <c r="AQ82" s="53">
        <v>0</v>
      </c>
      <c r="AR82" s="54">
        <v>0</v>
      </c>
      <c r="AS82" s="53">
        <v>0</v>
      </c>
      <c r="AT82" s="54">
        <v>0</v>
      </c>
      <c r="AU82" s="53">
        <v>0</v>
      </c>
      <c r="AV82" s="56">
        <v>0</v>
      </c>
      <c r="AW82" s="53">
        <v>0</v>
      </c>
      <c r="AX82" s="57">
        <v>42248</v>
      </c>
      <c r="AY82" s="29">
        <v>3</v>
      </c>
      <c r="AZ82" s="34">
        <f>Tableau13[[#This Row],[Bailleurs]]-SUM(Tableau13[[#This Row],[LOGIREP]:[France Habitation]])</f>
        <v>0</v>
      </c>
      <c r="BA82" s="34">
        <f>Tableau13[[#This Row],[Base de financement]]-Tableau13[[#This Row],[Subvention ANRU]]-Tableau13[[#This Row],[Ville]]-Tableau13[[#This Row],[Plaine Commune]]-Tableau13[[#This Row],[Bailleurs]]-Tableau13[[#This Row],[CDC]]-Tableau13[[#This Row],[Autres]]</f>
        <v>0</v>
      </c>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5"/>
      <c r="EH82" s="35"/>
      <c r="EI82" s="35"/>
      <c r="EJ82" s="35"/>
      <c r="EK82" s="35"/>
      <c r="EL82" s="35"/>
      <c r="EM82" s="35"/>
      <c r="EN82" s="35"/>
      <c r="EO82" s="35"/>
      <c r="EP82" s="35"/>
      <c r="EQ82" s="35"/>
      <c r="ER82" s="35"/>
      <c r="ES82" s="35"/>
      <c r="ET82" s="35"/>
    </row>
    <row r="83" spans="1:150" s="36" customFormat="1" ht="60" customHeight="1" x14ac:dyDescent="0.25">
      <c r="A83" s="21" t="s">
        <v>418</v>
      </c>
      <c r="B83" s="22" t="s">
        <v>911</v>
      </c>
      <c r="C83" s="59" t="s">
        <v>923</v>
      </c>
      <c r="D83" s="94" t="s">
        <v>924</v>
      </c>
      <c r="E83" s="483"/>
      <c r="F83" s="483"/>
      <c r="G83" s="483"/>
      <c r="H83" s="66" t="s">
        <v>827</v>
      </c>
      <c r="I83" s="24" t="s">
        <v>799</v>
      </c>
      <c r="J83" s="36" t="s">
        <v>831</v>
      </c>
      <c r="K83" s="52">
        <v>0</v>
      </c>
      <c r="L83" s="53">
        <v>0</v>
      </c>
      <c r="M83" s="70">
        <v>0</v>
      </c>
      <c r="N83" s="54">
        <v>0</v>
      </c>
      <c r="O83" s="54">
        <v>0</v>
      </c>
      <c r="P83" s="53">
        <v>0</v>
      </c>
      <c r="Q83" s="29" t="s">
        <v>925</v>
      </c>
      <c r="R83" s="54">
        <v>0</v>
      </c>
      <c r="S83" s="53"/>
      <c r="T83" s="55">
        <v>0</v>
      </c>
      <c r="U83" s="53">
        <v>0.35</v>
      </c>
      <c r="V83" s="54">
        <v>0</v>
      </c>
      <c r="W83" s="54"/>
      <c r="X83" s="289"/>
      <c r="Y83" s="289"/>
      <c r="Z83" s="54"/>
      <c r="AA83" s="54">
        <f>Tableau13[[#This Row],[Bailleurs]]*12.5%</f>
        <v>0</v>
      </c>
      <c r="AB83" s="320"/>
      <c r="AC83" s="320"/>
      <c r="AD83" s="334"/>
      <c r="AE83" s="334"/>
      <c r="AF83" s="334"/>
      <c r="AG83" s="334"/>
      <c r="AH83" s="334"/>
      <c r="AI83" s="273"/>
      <c r="AJ83" s="54"/>
      <c r="AK83" s="273"/>
      <c r="AL83" s="54"/>
      <c r="AM83" s="53">
        <v>0.25</v>
      </c>
      <c r="AN83" s="54">
        <v>0</v>
      </c>
      <c r="AO83" s="53"/>
      <c r="AP83" s="54">
        <v>0</v>
      </c>
      <c r="AQ83" s="53"/>
      <c r="AR83" s="54">
        <v>0</v>
      </c>
      <c r="AS83" s="53"/>
      <c r="AT83" s="54">
        <v>0</v>
      </c>
      <c r="AU83" s="53"/>
      <c r="AV83" s="56">
        <v>0</v>
      </c>
      <c r="AW83" s="53"/>
      <c r="AX83" s="57">
        <v>42248</v>
      </c>
      <c r="AY83" s="29">
        <v>3</v>
      </c>
      <c r="AZ83" s="34">
        <f>Tableau13[[#This Row],[Bailleurs]]-SUM(Tableau13[[#This Row],[LOGIREP]:[France Habitation]])</f>
        <v>0</v>
      </c>
      <c r="BA83" s="34">
        <f>Tableau13[[#This Row],[Base de financement]]-Tableau13[[#This Row],[Subvention ANRU]]-Tableau13[[#This Row],[Ville]]-Tableau13[[#This Row],[Plaine Commune]]-Tableau13[[#This Row],[Bailleurs]]-Tableau13[[#This Row],[CDC]]-Tableau13[[#This Row],[Autres]]</f>
        <v>0</v>
      </c>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5"/>
      <c r="EH83" s="35"/>
      <c r="EI83" s="35"/>
      <c r="EJ83" s="35"/>
      <c r="EK83" s="35"/>
      <c r="EL83" s="35"/>
      <c r="EM83" s="35"/>
      <c r="EN83" s="35"/>
      <c r="EO83" s="35"/>
      <c r="EP83" s="35"/>
      <c r="EQ83" s="35"/>
      <c r="ER83" s="35"/>
      <c r="ES83" s="35"/>
      <c r="ET83" s="35"/>
    </row>
    <row r="84" spans="1:150" s="36" customFormat="1" ht="60" customHeight="1" x14ac:dyDescent="0.25">
      <c r="A84" s="88" t="s">
        <v>33</v>
      </c>
      <c r="B84" s="74" t="s">
        <v>911</v>
      </c>
      <c r="C84" s="36" t="s">
        <v>939</v>
      </c>
      <c r="D84" s="29" t="s">
        <v>940</v>
      </c>
      <c r="E84" s="485">
        <v>100</v>
      </c>
      <c r="F84" s="485"/>
      <c r="G84" s="485"/>
      <c r="H84" s="29" t="s">
        <v>53</v>
      </c>
      <c r="I84" s="24" t="s">
        <v>799</v>
      </c>
      <c r="J84" s="36" t="s">
        <v>831</v>
      </c>
      <c r="K84" s="116">
        <v>30000</v>
      </c>
      <c r="L84" s="53">
        <v>0.2</v>
      </c>
      <c r="M84" s="70"/>
      <c r="N84" s="54">
        <v>30000</v>
      </c>
      <c r="O84" s="54">
        <f>Tableau13[[#This Row],[Taux de subvention ANRU]]*Tableau13[[#This Row],[Base de financement]]</f>
        <v>15000</v>
      </c>
      <c r="P84" s="53">
        <v>0.5</v>
      </c>
      <c r="Q84" s="29"/>
      <c r="R84" s="54"/>
      <c r="S84" s="53"/>
      <c r="T84" s="55">
        <v>15000</v>
      </c>
      <c r="U84" s="53"/>
      <c r="V84" s="31">
        <v>0</v>
      </c>
      <c r="W84" s="31"/>
      <c r="X84" s="288"/>
      <c r="Y84" s="288"/>
      <c r="Z84" s="31"/>
      <c r="AA84" s="31">
        <f>Tableau13[[#This Row],[Bailleurs]]*12.5%</f>
        <v>0</v>
      </c>
      <c r="AB84" s="322"/>
      <c r="AC84" s="322"/>
      <c r="AD84" s="336"/>
      <c r="AE84" s="336"/>
      <c r="AF84" s="336"/>
      <c r="AG84" s="336"/>
      <c r="AH84" s="336"/>
      <c r="AI84" s="260"/>
      <c r="AJ84" s="31"/>
      <c r="AK84" s="260"/>
      <c r="AL84" s="31"/>
      <c r="AM84" s="53"/>
      <c r="AN84" s="54"/>
      <c r="AO84" s="53"/>
      <c r="AP84" s="54"/>
      <c r="AQ84" s="53"/>
      <c r="AR84" s="54"/>
      <c r="AS84" s="53"/>
      <c r="AT84" s="54"/>
      <c r="AU84" s="53"/>
      <c r="AV84" s="53"/>
      <c r="AW84" s="53"/>
      <c r="AX84" s="57"/>
      <c r="AY84" s="29"/>
      <c r="AZ84" s="186">
        <f>Tableau13[[#This Row],[Bailleurs]]-SUM(Tableau13[[#This Row],[LOGIREP]:[France Habitation]])</f>
        <v>0</v>
      </c>
      <c r="BA84" s="34">
        <f>Tableau13[[#This Row],[Base de financement]]-Tableau13[[#This Row],[Subvention ANRU]]-Tableau13[[#This Row],[Ville]]-Tableau13[[#This Row],[Plaine Commune]]-Tableau13[[#This Row],[Bailleurs]]-Tableau13[[#This Row],[CDC]]-Tableau13[[#This Row],[Autres]]</f>
        <v>0</v>
      </c>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5"/>
      <c r="EH84" s="35"/>
      <c r="EI84" s="35"/>
      <c r="EJ84" s="35"/>
      <c r="EK84" s="35"/>
      <c r="EL84" s="35"/>
      <c r="EM84" s="35"/>
      <c r="EN84" s="35"/>
      <c r="EO84" s="35"/>
      <c r="EP84" s="35"/>
      <c r="EQ84" s="35"/>
      <c r="ER84" s="35"/>
      <c r="ES84" s="35"/>
      <c r="ET84" s="35"/>
    </row>
    <row r="85" spans="1:150" s="36" customFormat="1" ht="60" customHeight="1" x14ac:dyDescent="0.25">
      <c r="A85" s="21" t="s">
        <v>550</v>
      </c>
      <c r="B85" s="22" t="s">
        <v>950</v>
      </c>
      <c r="C85" s="45" t="s">
        <v>951</v>
      </c>
      <c r="D85" s="46" t="s">
        <v>479</v>
      </c>
      <c r="E85" s="480"/>
      <c r="F85" s="480"/>
      <c r="G85" s="480"/>
      <c r="H85" s="68" t="s">
        <v>113</v>
      </c>
      <c r="I85" s="29"/>
      <c r="J85" s="46" t="s">
        <v>823</v>
      </c>
      <c r="K85" s="268">
        <v>50000</v>
      </c>
      <c r="L85" s="41">
        <v>0.2</v>
      </c>
      <c r="M85" s="49">
        <f>K85*(1+L85)</f>
        <v>60000</v>
      </c>
      <c r="N85" s="31">
        <v>50000</v>
      </c>
      <c r="O85" s="31">
        <f>K85*P85</f>
        <v>25000</v>
      </c>
      <c r="P85" s="41">
        <v>0.5</v>
      </c>
      <c r="Q85" s="58" t="s">
        <v>952</v>
      </c>
      <c r="R85" s="31">
        <f>K85*S85</f>
        <v>0</v>
      </c>
      <c r="S85" s="41">
        <v>0</v>
      </c>
      <c r="T85" s="30">
        <f>K85*U85</f>
        <v>17500</v>
      </c>
      <c r="U85" s="41">
        <v>0.35</v>
      </c>
      <c r="V85" s="84">
        <f>K85*AM85</f>
        <v>7500</v>
      </c>
      <c r="W85" s="31"/>
      <c r="X85" s="288">
        <v>5942</v>
      </c>
      <c r="Y85" s="288">
        <v>390</v>
      </c>
      <c r="Z85" s="31"/>
      <c r="AA85" s="31"/>
      <c r="AB85" s="322"/>
      <c r="AC85" s="322"/>
      <c r="AD85" s="336"/>
      <c r="AE85" s="336"/>
      <c r="AF85" s="336"/>
      <c r="AG85" s="336"/>
      <c r="AH85" s="336"/>
      <c r="AI85" s="260">
        <v>1168</v>
      </c>
      <c r="AJ85" s="31"/>
      <c r="AK85" s="260"/>
      <c r="AL85" s="31"/>
      <c r="AM85" s="41">
        <v>0.15</v>
      </c>
      <c r="AN85" s="31">
        <f>K85*AO85</f>
        <v>0</v>
      </c>
      <c r="AO85" s="41"/>
      <c r="AP85" s="31">
        <f>K85*AQ85</f>
        <v>0</v>
      </c>
      <c r="AQ85" s="41"/>
      <c r="AR85" s="31">
        <f>K85*AS85</f>
        <v>0</v>
      </c>
      <c r="AS85" s="41"/>
      <c r="AT85" s="31">
        <f>K85*AU85</f>
        <v>0</v>
      </c>
      <c r="AU85" s="41"/>
      <c r="AV85" s="50">
        <f>K85*AW85</f>
        <v>0</v>
      </c>
      <c r="AW85" s="41"/>
      <c r="AX85" s="51">
        <v>42378</v>
      </c>
      <c r="AY85" s="46">
        <v>18</v>
      </c>
      <c r="AZ85" s="34">
        <f>Tableau13[[#This Row],[Bailleurs]]-SUM(Tableau13[[#This Row],[LOGIREP]:[France Habitation]])</f>
        <v>0</v>
      </c>
      <c r="BA85" s="34">
        <f>Tableau13[[#This Row],[Base de financement]]-Tableau13[[#This Row],[Subvention ANRU]]-Tableau13[[#This Row],[Ville]]-Tableau13[[#This Row],[Plaine Commune]]-Tableau13[[#This Row],[Bailleurs]]-Tableau13[[#This Row],[CDC]]-Tableau13[[#This Row],[Autres]]</f>
        <v>0</v>
      </c>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5"/>
      <c r="EH85" s="35"/>
      <c r="EI85" s="35"/>
      <c r="EJ85" s="35"/>
      <c r="EK85" s="35"/>
      <c r="EL85" s="35"/>
      <c r="EM85" s="35"/>
      <c r="EN85" s="35"/>
      <c r="EO85" s="35"/>
      <c r="EP85" s="35"/>
      <c r="EQ85" s="35"/>
      <c r="ER85" s="35"/>
      <c r="ES85" s="35"/>
      <c r="ET85" s="35"/>
    </row>
    <row r="86" spans="1:150" s="36" customFormat="1" ht="60" customHeight="1" x14ac:dyDescent="0.25">
      <c r="A86" s="21" t="s">
        <v>655</v>
      </c>
      <c r="B86" s="22" t="s">
        <v>950</v>
      </c>
      <c r="C86" s="23" t="s">
        <v>953</v>
      </c>
      <c r="D86" s="24" t="s">
        <v>954</v>
      </c>
      <c r="E86" s="488"/>
      <c r="F86" s="488"/>
      <c r="G86" s="488"/>
      <c r="H86" s="24" t="s">
        <v>955</v>
      </c>
      <c r="I86" s="29" t="s">
        <v>956</v>
      </c>
      <c r="J86" s="46" t="s">
        <v>823</v>
      </c>
      <c r="K86" s="25">
        <v>45000</v>
      </c>
      <c r="L86" s="26">
        <v>0.2</v>
      </c>
      <c r="M86" s="25">
        <f>K86*(1+L86)</f>
        <v>54000</v>
      </c>
      <c r="N86" s="27">
        <f>K86</f>
        <v>45000</v>
      </c>
      <c r="O86" s="27">
        <f>N86*P86</f>
        <v>22500</v>
      </c>
      <c r="P86" s="28">
        <v>0.5</v>
      </c>
      <c r="Q86" s="24">
        <f>54000*0.3</f>
        <v>16200</v>
      </c>
      <c r="R86" s="27"/>
      <c r="S86" s="24"/>
      <c r="T86" s="89">
        <f>N86*U86</f>
        <v>22500</v>
      </c>
      <c r="U86" s="28">
        <v>0.5</v>
      </c>
      <c r="V86" s="27">
        <v>0</v>
      </c>
      <c r="W86" s="27"/>
      <c r="X86" s="286"/>
      <c r="Y86" s="286"/>
      <c r="Z86" s="27"/>
      <c r="AA86" s="27">
        <f>Tableau13[[#This Row],[Bailleurs]]*12.5%</f>
        <v>0</v>
      </c>
      <c r="AB86" s="318"/>
      <c r="AC86" s="318"/>
      <c r="AD86" s="332"/>
      <c r="AE86" s="332"/>
      <c r="AF86" s="332"/>
      <c r="AG86" s="332"/>
      <c r="AH86" s="332"/>
      <c r="AI86" s="256"/>
      <c r="AJ86" s="27"/>
      <c r="AK86" s="256"/>
      <c r="AL86" s="27"/>
      <c r="AM86" s="28"/>
      <c r="AN86" s="27"/>
      <c r="AO86" s="28"/>
      <c r="AP86" s="27"/>
      <c r="AQ86" s="28"/>
      <c r="AR86" s="27"/>
      <c r="AS86" s="28"/>
      <c r="AT86" s="27"/>
      <c r="AU86" s="28"/>
      <c r="AV86" s="28"/>
      <c r="AW86" s="28"/>
      <c r="AX86" s="33">
        <v>42370</v>
      </c>
      <c r="AY86" s="24">
        <v>12</v>
      </c>
      <c r="AZ86" s="34">
        <f>Tableau13[[#This Row],[Bailleurs]]-SUM(Tableau13[[#This Row],[LOGIREP]:[France Habitation]])</f>
        <v>0</v>
      </c>
      <c r="BA86" s="34">
        <f>Tableau13[[#This Row],[Base de financement]]-Tableau13[[#This Row],[Subvention ANRU]]-Tableau13[[#This Row],[Ville]]-Tableau13[[#This Row],[Plaine Commune]]-Tableau13[[#This Row],[Bailleurs]]-Tableau13[[#This Row],[CDC]]-Tableau13[[#This Row],[Autres]]</f>
        <v>0</v>
      </c>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5"/>
      <c r="EH86" s="35"/>
      <c r="EI86" s="35"/>
      <c r="EJ86" s="35"/>
      <c r="EK86" s="35"/>
      <c r="EL86" s="35"/>
      <c r="EM86" s="35"/>
      <c r="EN86" s="35"/>
      <c r="EO86" s="35"/>
      <c r="EP86" s="35"/>
      <c r="EQ86" s="35"/>
      <c r="ER86" s="35"/>
      <c r="ES86" s="35"/>
      <c r="ET86" s="35"/>
    </row>
    <row r="87" spans="1:150" s="36" customFormat="1" ht="60" customHeight="1" x14ac:dyDescent="0.25">
      <c r="A87" s="21" t="s">
        <v>550</v>
      </c>
      <c r="B87" s="22" t="s">
        <v>950</v>
      </c>
      <c r="C87" s="59" t="s">
        <v>957</v>
      </c>
      <c r="D87" s="125" t="s">
        <v>958</v>
      </c>
      <c r="E87" s="493"/>
      <c r="F87" s="493"/>
      <c r="G87" s="493"/>
      <c r="H87" s="126" t="s">
        <v>955</v>
      </c>
      <c r="I87" s="29" t="s">
        <v>956</v>
      </c>
      <c r="J87" s="46" t="s">
        <v>823</v>
      </c>
      <c r="K87" s="127">
        <v>10000</v>
      </c>
      <c r="L87" s="128">
        <v>0.2</v>
      </c>
      <c r="M87" s="129">
        <f>(K87*20%)+K87</f>
        <v>12000</v>
      </c>
      <c r="N87" s="127">
        <f>K87</f>
        <v>10000</v>
      </c>
      <c r="O87" s="127">
        <v>5000</v>
      </c>
      <c r="P87" s="128">
        <v>0.5</v>
      </c>
      <c r="Q87" s="127"/>
      <c r="R87" s="127"/>
      <c r="S87" s="127"/>
      <c r="T87" s="130">
        <v>5000</v>
      </c>
      <c r="U87" s="128">
        <v>0.5</v>
      </c>
      <c r="V87" s="127">
        <v>0</v>
      </c>
      <c r="W87" s="191"/>
      <c r="X87" s="316"/>
      <c r="Y87" s="316"/>
      <c r="Z87" s="191"/>
      <c r="AA87" s="191">
        <f>Tableau13[[#This Row],[Bailleurs]]*12.5%</f>
        <v>0</v>
      </c>
      <c r="AB87" s="329"/>
      <c r="AC87" s="329"/>
      <c r="AD87" s="343"/>
      <c r="AE87" s="343"/>
      <c r="AF87" s="343"/>
      <c r="AG87" s="343"/>
      <c r="AH87" s="343"/>
      <c r="AI87" s="285"/>
      <c r="AJ87" s="127"/>
      <c r="AK87" s="279"/>
      <c r="AL87" s="127"/>
      <c r="AM87" s="127"/>
      <c r="AN87" s="127"/>
      <c r="AO87" s="127"/>
      <c r="AP87" s="127"/>
      <c r="AQ87" s="127"/>
      <c r="AR87" s="127"/>
      <c r="AS87" s="127"/>
      <c r="AT87" s="127"/>
      <c r="AU87" s="127"/>
      <c r="AV87" s="127"/>
      <c r="AW87" s="127"/>
      <c r="AX87" s="127"/>
      <c r="AY87" s="127"/>
      <c r="AZ87" s="34">
        <f>Tableau13[[#This Row],[Bailleurs]]-SUM(Tableau13[[#This Row],[LOGIREP]:[France Habitation]])</f>
        <v>0</v>
      </c>
      <c r="BA87" s="34">
        <f>Tableau13[[#This Row],[Base de financement]]-Tableau13[[#This Row],[Subvention ANRU]]-Tableau13[[#This Row],[Ville]]-Tableau13[[#This Row],[Plaine Commune]]-Tableau13[[#This Row],[Bailleurs]]-Tableau13[[#This Row],[CDC]]-Tableau13[[#This Row],[Autres]]</f>
        <v>0</v>
      </c>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5"/>
      <c r="EH87" s="35"/>
      <c r="EI87" s="35"/>
      <c r="EJ87" s="35"/>
      <c r="EK87" s="35"/>
      <c r="EL87" s="35"/>
      <c r="EM87" s="35"/>
      <c r="EN87" s="35"/>
      <c r="EO87" s="35"/>
      <c r="EP87" s="35"/>
      <c r="EQ87" s="35"/>
      <c r="ER87" s="35"/>
      <c r="ES87" s="35"/>
      <c r="ET87" s="35"/>
    </row>
    <row r="88" spans="1:150" s="36" customFormat="1" ht="60" customHeight="1" x14ac:dyDescent="0.25">
      <c r="A88" s="21" t="s">
        <v>807</v>
      </c>
      <c r="B88" s="22" t="s">
        <v>950</v>
      </c>
      <c r="C88" s="37" t="s">
        <v>959</v>
      </c>
      <c r="D88" s="29" t="s">
        <v>960</v>
      </c>
      <c r="E88" s="485">
        <v>50</v>
      </c>
      <c r="F88" s="485">
        <v>50</v>
      </c>
      <c r="G88" s="485"/>
      <c r="H88" s="29" t="s">
        <v>955</v>
      </c>
      <c r="I88" s="29" t="s">
        <v>956</v>
      </c>
      <c r="J88" s="46" t="s">
        <v>823</v>
      </c>
      <c r="K88" s="267">
        <v>30000</v>
      </c>
      <c r="L88" s="53">
        <v>0.2</v>
      </c>
      <c r="M88" s="54">
        <f>K88*(1+L88)</f>
        <v>36000</v>
      </c>
      <c r="N88" s="54">
        <v>30000</v>
      </c>
      <c r="O88" s="54">
        <f>K88*P88</f>
        <v>15000</v>
      </c>
      <c r="P88" s="53">
        <v>0.5</v>
      </c>
      <c r="Q88" s="29"/>
      <c r="R88" s="54">
        <f>K88*S88</f>
        <v>0</v>
      </c>
      <c r="S88" s="53"/>
      <c r="T88" s="55">
        <f>K88*U88+6000</f>
        <v>15000</v>
      </c>
      <c r="U88" s="53">
        <v>0.3</v>
      </c>
      <c r="V88" s="192">
        <v>0</v>
      </c>
      <c r="W88" s="54"/>
      <c r="X88" s="289"/>
      <c r="Y88" s="289"/>
      <c r="Z88" s="54"/>
      <c r="AA88" s="54"/>
      <c r="AB88" s="320"/>
      <c r="AC88" s="320"/>
      <c r="AD88" s="334"/>
      <c r="AE88" s="334"/>
      <c r="AF88" s="334"/>
      <c r="AG88" s="334"/>
      <c r="AH88" s="334"/>
      <c r="AI88" s="273"/>
      <c r="AJ88" s="54"/>
      <c r="AK88" s="273"/>
      <c r="AL88" s="54"/>
      <c r="AM88" s="53">
        <v>0.2</v>
      </c>
      <c r="AN88" s="54">
        <f>K88*AO88</f>
        <v>0</v>
      </c>
      <c r="AO88" s="53"/>
      <c r="AP88" s="54">
        <f>K88*AQ88</f>
        <v>0</v>
      </c>
      <c r="AQ88" s="53"/>
      <c r="AR88" s="54">
        <f>K88*AS88</f>
        <v>0</v>
      </c>
      <c r="AS88" s="53"/>
      <c r="AT88" s="54">
        <f>K88*AU88</f>
        <v>0</v>
      </c>
      <c r="AU88" s="53"/>
      <c r="AV88" s="56">
        <f>K88*AW88</f>
        <v>0</v>
      </c>
      <c r="AW88" s="53"/>
      <c r="AX88" s="57"/>
      <c r="AY88" s="29"/>
      <c r="AZ88" s="34">
        <f>Tableau13[[#This Row],[Bailleurs]]-SUM(Tableau13[[#This Row],[LOGIREP]:[France Habitation]])</f>
        <v>0</v>
      </c>
      <c r="BA88" s="34">
        <f>Tableau13[[#This Row],[Base de financement]]-Tableau13[[#This Row],[Subvention ANRU]]-Tableau13[[#This Row],[Ville]]-Tableau13[[#This Row],[Plaine Commune]]-Tableau13[[#This Row],[Bailleurs]]-Tableau13[[#This Row],[CDC]]-Tableau13[[#This Row],[Autres]]</f>
        <v>0</v>
      </c>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5"/>
      <c r="EH88" s="35"/>
      <c r="EI88" s="35"/>
      <c r="EJ88" s="35"/>
      <c r="EK88" s="35"/>
      <c r="EL88" s="35"/>
      <c r="EM88" s="35"/>
      <c r="EN88" s="35"/>
      <c r="EO88" s="35"/>
      <c r="EP88" s="35"/>
      <c r="EQ88" s="35"/>
      <c r="ER88" s="35"/>
      <c r="ES88" s="35"/>
      <c r="ET88" s="35"/>
    </row>
    <row r="89" spans="1:150" s="36" customFormat="1" ht="60" customHeight="1" x14ac:dyDescent="0.25">
      <c r="A89" s="21" t="s">
        <v>343</v>
      </c>
      <c r="B89" s="22" t="s">
        <v>950</v>
      </c>
      <c r="C89" s="58" t="s">
        <v>961</v>
      </c>
      <c r="D89" s="46" t="s">
        <v>962</v>
      </c>
      <c r="E89" s="480"/>
      <c r="F89" s="480"/>
      <c r="G89" s="480"/>
      <c r="H89" s="68" t="s">
        <v>113</v>
      </c>
      <c r="I89" s="29" t="s">
        <v>956</v>
      </c>
      <c r="J89" s="46" t="s">
        <v>823</v>
      </c>
      <c r="K89" s="268">
        <v>15000</v>
      </c>
      <c r="L89" s="41">
        <v>0.2</v>
      </c>
      <c r="M89" s="31">
        <f>K89*1.2</f>
        <v>18000</v>
      </c>
      <c r="N89" s="31">
        <v>15000</v>
      </c>
      <c r="O89" s="31">
        <f>N89*P89</f>
        <v>7500</v>
      </c>
      <c r="P89" s="41">
        <v>0.5</v>
      </c>
      <c r="Q89" s="58" t="s">
        <v>963</v>
      </c>
      <c r="R89" s="31">
        <f>N89*S89</f>
        <v>0</v>
      </c>
      <c r="S89" s="41">
        <v>0</v>
      </c>
      <c r="T89" s="30">
        <f>N89*U89</f>
        <v>5250</v>
      </c>
      <c r="U89" s="41">
        <v>0.35</v>
      </c>
      <c r="V89" s="84">
        <f>N89*AM89</f>
        <v>2250</v>
      </c>
      <c r="W89" s="31"/>
      <c r="X89" s="288">
        <v>2250</v>
      </c>
      <c r="Y89" s="288"/>
      <c r="Z89" s="31"/>
      <c r="AA89" s="31"/>
      <c r="AB89" s="322"/>
      <c r="AC89" s="322"/>
      <c r="AD89" s="336"/>
      <c r="AE89" s="336"/>
      <c r="AF89" s="336"/>
      <c r="AG89" s="336"/>
      <c r="AH89" s="336"/>
      <c r="AI89" s="260"/>
      <c r="AJ89" s="31"/>
      <c r="AK89" s="260"/>
      <c r="AL89" s="31"/>
      <c r="AM89" s="41">
        <v>0.15</v>
      </c>
      <c r="AN89" s="31">
        <f>N89*AO89</f>
        <v>0</v>
      </c>
      <c r="AO89" s="41"/>
      <c r="AP89" s="31">
        <f>N89*AQ89</f>
        <v>0</v>
      </c>
      <c r="AQ89" s="41"/>
      <c r="AR89" s="31">
        <f>N89*AS89</f>
        <v>0</v>
      </c>
      <c r="AS89" s="41"/>
      <c r="AT89" s="31">
        <f>N89*AU89</f>
        <v>0</v>
      </c>
      <c r="AU89" s="41"/>
      <c r="AV89" s="50">
        <f>N89*AW89</f>
        <v>0</v>
      </c>
      <c r="AW89" s="41"/>
      <c r="AX89" s="51">
        <v>42378</v>
      </c>
      <c r="AY89" s="46">
        <v>18</v>
      </c>
      <c r="AZ89" s="34">
        <f>Tableau13[[#This Row],[Bailleurs]]-SUM(Tableau13[[#This Row],[LOGIREP]:[France Habitation]])</f>
        <v>0</v>
      </c>
      <c r="BA89" s="34">
        <f>Tableau13[[#This Row],[Base de financement]]-Tableau13[[#This Row],[Subvention ANRU]]-Tableau13[[#This Row],[Ville]]-Tableau13[[#This Row],[Plaine Commune]]-Tableau13[[#This Row],[Bailleurs]]-Tableau13[[#This Row],[CDC]]-Tableau13[[#This Row],[Autres]]</f>
        <v>0</v>
      </c>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5"/>
      <c r="EH89" s="35"/>
      <c r="EI89" s="35"/>
      <c r="EJ89" s="35"/>
      <c r="EK89" s="35"/>
      <c r="EL89" s="35"/>
      <c r="EM89" s="35"/>
      <c r="EN89" s="35"/>
      <c r="EO89" s="35"/>
      <c r="EP89" s="35"/>
      <c r="EQ89" s="35"/>
      <c r="ER89" s="35"/>
      <c r="ES89" s="35"/>
      <c r="ET89" s="35"/>
    </row>
    <row r="90" spans="1:150" s="36" customFormat="1" ht="60" customHeight="1" x14ac:dyDescent="0.25">
      <c r="A90" s="21" t="s">
        <v>964</v>
      </c>
      <c r="B90" s="22" t="s">
        <v>950</v>
      </c>
      <c r="C90" s="59" t="s">
        <v>950</v>
      </c>
      <c r="D90" s="38" t="s">
        <v>965</v>
      </c>
      <c r="E90" s="489"/>
      <c r="F90" s="489"/>
      <c r="G90" s="489"/>
      <c r="H90" s="38" t="s">
        <v>113</v>
      </c>
      <c r="I90" s="29" t="s">
        <v>956</v>
      </c>
      <c r="J90" s="46" t="s">
        <v>823</v>
      </c>
      <c r="K90" s="131">
        <v>30000</v>
      </c>
      <c r="L90" s="39"/>
      <c r="M90" s="31"/>
      <c r="N90" s="62">
        <v>30000</v>
      </c>
      <c r="O90" s="54">
        <v>15000</v>
      </c>
      <c r="P90" s="132">
        <v>0.5</v>
      </c>
      <c r="Q90" s="63"/>
      <c r="R90" s="63"/>
      <c r="S90" s="41"/>
      <c r="T90" s="30">
        <v>15000</v>
      </c>
      <c r="U90" s="64">
        <v>0.5</v>
      </c>
      <c r="V90" s="63">
        <v>0</v>
      </c>
      <c r="W90" s="62"/>
      <c r="X90" s="312"/>
      <c r="Y90" s="312"/>
      <c r="Z90" s="62"/>
      <c r="AA90" s="62">
        <f>Tableau13[[#This Row],[Bailleurs]]*12.5%</f>
        <v>0</v>
      </c>
      <c r="AB90" s="323"/>
      <c r="AC90" s="323"/>
      <c r="AD90" s="337"/>
      <c r="AE90" s="337"/>
      <c r="AF90" s="337"/>
      <c r="AG90" s="337"/>
      <c r="AH90" s="337"/>
      <c r="AI90" s="282"/>
      <c r="AJ90" s="63"/>
      <c r="AK90" s="274"/>
      <c r="AL90" s="63"/>
      <c r="AM90" s="63"/>
      <c r="AN90" s="31"/>
      <c r="AO90" s="32"/>
      <c r="AP90" s="63"/>
      <c r="AQ90" s="63"/>
      <c r="AR90" s="63"/>
      <c r="AS90" s="63"/>
      <c r="AT90" s="63"/>
      <c r="AU90" s="63"/>
      <c r="AV90" s="133"/>
      <c r="AW90" s="63"/>
      <c r="AX90" s="63"/>
      <c r="AY90" s="63"/>
      <c r="AZ90" s="34">
        <f>Tableau13[[#This Row],[Bailleurs]]-SUM(Tableau13[[#This Row],[LOGIREP]:[France Habitation]])</f>
        <v>0</v>
      </c>
      <c r="BA90" s="34">
        <f>Tableau13[[#This Row],[Base de financement]]-Tableau13[[#This Row],[Subvention ANRU]]-Tableau13[[#This Row],[Ville]]-Tableau13[[#This Row],[Plaine Commune]]-Tableau13[[#This Row],[Bailleurs]]-Tableau13[[#This Row],[CDC]]-Tableau13[[#This Row],[Autres]]</f>
        <v>0</v>
      </c>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5"/>
      <c r="EH90" s="35"/>
      <c r="EI90" s="35"/>
      <c r="EJ90" s="35"/>
      <c r="EK90" s="35"/>
      <c r="EL90" s="35"/>
      <c r="EM90" s="35"/>
      <c r="EN90" s="35"/>
      <c r="EO90" s="35"/>
      <c r="EP90" s="35"/>
      <c r="EQ90" s="35"/>
      <c r="ER90" s="35"/>
      <c r="ES90" s="35"/>
      <c r="ET90" s="35"/>
    </row>
    <row r="91" spans="1:150" s="36" customFormat="1" ht="60" customHeight="1" x14ac:dyDescent="0.25">
      <c r="A91" s="21" t="s">
        <v>163</v>
      </c>
      <c r="B91" s="22" t="s">
        <v>950</v>
      </c>
      <c r="C91" s="59" t="s">
        <v>966</v>
      </c>
      <c r="D91" s="69" t="s">
        <v>967</v>
      </c>
      <c r="E91" s="481"/>
      <c r="F91" s="481"/>
      <c r="G91" s="481"/>
      <c r="H91" s="29" t="s">
        <v>955</v>
      </c>
      <c r="I91" s="29" t="s">
        <v>956</v>
      </c>
      <c r="J91" s="46" t="s">
        <v>823</v>
      </c>
      <c r="K91" s="267">
        <v>70000</v>
      </c>
      <c r="L91" s="53">
        <v>0.2</v>
      </c>
      <c r="M91" s="70">
        <f>K91*(1+L91)</f>
        <v>84000</v>
      </c>
      <c r="N91" s="52">
        <v>70000</v>
      </c>
      <c r="O91" s="110">
        <f>Tableau13[[#This Row],[Coût HT]]*Tableau13[[#This Row],[Taux de subvention ANRU]]</f>
        <v>35000</v>
      </c>
      <c r="P91" s="71">
        <v>0.5</v>
      </c>
      <c r="Q91" s="74"/>
      <c r="R91" s="54">
        <f>N91*S91</f>
        <v>0</v>
      </c>
      <c r="S91" s="71"/>
      <c r="T91" s="55">
        <f>N91*U91</f>
        <v>35000</v>
      </c>
      <c r="U91" s="71">
        <v>0.5</v>
      </c>
      <c r="V91" s="54">
        <f>N91*AM91</f>
        <v>0</v>
      </c>
      <c r="W91" s="54"/>
      <c r="X91" s="289"/>
      <c r="Y91" s="289"/>
      <c r="Z91" s="54"/>
      <c r="AA91" s="54">
        <f>Tableau13[[#This Row],[Bailleurs]]*12.5%</f>
        <v>0</v>
      </c>
      <c r="AB91" s="320"/>
      <c r="AC91" s="320"/>
      <c r="AD91" s="334"/>
      <c r="AE91" s="334"/>
      <c r="AF91" s="334"/>
      <c r="AG91" s="334"/>
      <c r="AH91" s="334"/>
      <c r="AI91" s="273"/>
      <c r="AJ91" s="54"/>
      <c r="AK91" s="273"/>
      <c r="AL91" s="54"/>
      <c r="AM91" s="71"/>
      <c r="AN91" s="54">
        <f>N91*AO91</f>
        <v>0</v>
      </c>
      <c r="AO91" s="71"/>
      <c r="AP91" s="54">
        <f>N91*AQ91</f>
        <v>0</v>
      </c>
      <c r="AQ91" s="71"/>
      <c r="AR91" s="54">
        <f>N91*AS91</f>
        <v>0</v>
      </c>
      <c r="AS91" s="71"/>
      <c r="AT91" s="54">
        <f>N91*AU91</f>
        <v>0</v>
      </c>
      <c r="AU91" s="71"/>
      <c r="AV91" s="72">
        <f>N91*AW91</f>
        <v>0</v>
      </c>
      <c r="AW91" s="71"/>
      <c r="AX91" s="73">
        <v>42461</v>
      </c>
      <c r="AY91" s="135"/>
      <c r="AZ91" s="34">
        <f>Tableau13[[#This Row],[Bailleurs]]-SUM(Tableau13[[#This Row],[LOGIREP]:[France Habitation]])</f>
        <v>0</v>
      </c>
      <c r="BA91" s="34">
        <f>Tableau13[[#This Row],[Base de financement]]-Tableau13[[#This Row],[Subvention ANRU]]-Tableau13[[#This Row],[Ville]]-Tableau13[[#This Row],[Plaine Commune]]-Tableau13[[#This Row],[Bailleurs]]-Tableau13[[#This Row],[CDC]]-Tableau13[[#This Row],[Autres]]</f>
        <v>0</v>
      </c>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5"/>
      <c r="EH91" s="35"/>
      <c r="EI91" s="35"/>
      <c r="EJ91" s="35"/>
      <c r="EK91" s="35"/>
      <c r="EL91" s="35"/>
      <c r="EM91" s="35"/>
      <c r="EN91" s="35"/>
      <c r="EO91" s="35"/>
      <c r="EP91" s="35"/>
      <c r="EQ91" s="35"/>
      <c r="ER91" s="35"/>
      <c r="ES91" s="35"/>
      <c r="ET91" s="35"/>
    </row>
    <row r="92" spans="1:150" s="36" customFormat="1" ht="60" customHeight="1" x14ac:dyDescent="0.25">
      <c r="A92" s="21" t="s">
        <v>238</v>
      </c>
      <c r="B92" s="136" t="s">
        <v>968</v>
      </c>
      <c r="C92" s="37" t="s">
        <v>969</v>
      </c>
      <c r="D92" s="29" t="s">
        <v>970</v>
      </c>
      <c r="E92" s="485"/>
      <c r="F92" s="485"/>
      <c r="G92" s="485"/>
      <c r="H92" s="29" t="s">
        <v>955</v>
      </c>
      <c r="I92" s="29" t="s">
        <v>956</v>
      </c>
      <c r="J92" s="46" t="s">
        <v>823</v>
      </c>
      <c r="K92" s="134">
        <v>0</v>
      </c>
      <c r="L92" s="53">
        <v>0.2</v>
      </c>
      <c r="M92" s="70">
        <f>K92*(1+L92)</f>
        <v>0</v>
      </c>
      <c r="N92" s="54">
        <v>0</v>
      </c>
      <c r="O92" s="54">
        <f t="shared" ref="O92:O97" si="1">N92*P92</f>
        <v>0</v>
      </c>
      <c r="P92" s="137">
        <v>0</v>
      </c>
      <c r="Q92" s="138" t="s">
        <v>1169</v>
      </c>
      <c r="R92" s="54">
        <f>S92*N92</f>
        <v>0</v>
      </c>
      <c r="S92" s="53"/>
      <c r="T92" s="55">
        <v>0</v>
      </c>
      <c r="U92" s="53">
        <v>0.5</v>
      </c>
      <c r="V92" s="192">
        <v>0</v>
      </c>
      <c r="W92" s="54"/>
      <c r="X92" s="289"/>
      <c r="Y92" s="289"/>
      <c r="Z92" s="54">
        <v>0</v>
      </c>
      <c r="AA92" s="54"/>
      <c r="AB92" s="320"/>
      <c r="AC92" s="320"/>
      <c r="AD92" s="334"/>
      <c r="AE92" s="334"/>
      <c r="AF92" s="334"/>
      <c r="AG92" s="334"/>
      <c r="AH92" s="334"/>
      <c r="AI92" s="273"/>
      <c r="AJ92" s="54"/>
      <c r="AK92" s="273"/>
      <c r="AL92" s="54"/>
      <c r="AM92" s="53">
        <v>0.5</v>
      </c>
      <c r="AN92" s="54">
        <f>N92*AO92</f>
        <v>0</v>
      </c>
      <c r="AO92" s="53"/>
      <c r="AP92" s="54">
        <f>N92*AQ92</f>
        <v>0</v>
      </c>
      <c r="AQ92" s="53"/>
      <c r="AR92" s="54">
        <f>N92*AS92</f>
        <v>0</v>
      </c>
      <c r="AS92" s="53"/>
      <c r="AT92" s="54">
        <f>N92*AU92</f>
        <v>0</v>
      </c>
      <c r="AU92" s="53"/>
      <c r="AV92" s="56">
        <f>N92*AW92</f>
        <v>0</v>
      </c>
      <c r="AW92" s="53"/>
      <c r="AX92" s="57">
        <v>42430</v>
      </c>
      <c r="AY92" s="29">
        <v>3</v>
      </c>
      <c r="AZ92" s="34">
        <f>Tableau13[[#This Row],[Bailleurs]]-SUM(Tableau13[[#This Row],[LOGIREP]:[France Habitation]])</f>
        <v>0</v>
      </c>
      <c r="BA92" s="34">
        <f>Tableau13[[#This Row],[Base de financement]]-Tableau13[[#This Row],[Subvention ANRU]]-Tableau13[[#This Row],[Ville]]-Tableau13[[#This Row],[Plaine Commune]]-Tableau13[[#This Row],[Bailleurs]]-Tableau13[[#This Row],[CDC]]-Tableau13[[#This Row],[Autres]]</f>
        <v>0</v>
      </c>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5"/>
      <c r="EH92" s="35"/>
      <c r="EI92" s="35"/>
      <c r="EJ92" s="35"/>
      <c r="EK92" s="35"/>
      <c r="EL92" s="35"/>
      <c r="EM92" s="35"/>
      <c r="EN92" s="35"/>
      <c r="EO92" s="35"/>
      <c r="EP92" s="35"/>
      <c r="EQ92" s="35"/>
      <c r="ER92" s="35"/>
      <c r="ES92" s="35"/>
      <c r="ET92" s="35"/>
    </row>
    <row r="93" spans="1:150" s="36" customFormat="1" ht="60" customHeight="1" x14ac:dyDescent="0.25">
      <c r="A93" s="65" t="s">
        <v>585</v>
      </c>
      <c r="B93" s="66" t="s">
        <v>968</v>
      </c>
      <c r="C93" s="58" t="s">
        <v>972</v>
      </c>
      <c r="D93" s="46" t="s">
        <v>973</v>
      </c>
      <c r="E93" s="480"/>
      <c r="F93" s="480"/>
      <c r="G93" s="480"/>
      <c r="H93" s="68" t="s">
        <v>113</v>
      </c>
      <c r="I93" s="29" t="s">
        <v>956</v>
      </c>
      <c r="J93" s="46" t="s">
        <v>823</v>
      </c>
      <c r="K93" s="268">
        <v>30000</v>
      </c>
      <c r="L93" s="41">
        <v>0.2</v>
      </c>
      <c r="M93" s="31">
        <f>K93*(1+L93)</f>
        <v>36000</v>
      </c>
      <c r="N93" s="31">
        <v>30000</v>
      </c>
      <c r="O93" s="54">
        <f t="shared" si="1"/>
        <v>0</v>
      </c>
      <c r="P93" s="137">
        <v>0</v>
      </c>
      <c r="Q93" s="58" t="s">
        <v>971</v>
      </c>
      <c r="R93" s="31">
        <f>N93*S93</f>
        <v>0</v>
      </c>
      <c r="S93" s="41"/>
      <c r="T93" s="30">
        <f t="shared" ref="T93:T103" si="2">N93*U93</f>
        <v>15000</v>
      </c>
      <c r="U93" s="53">
        <v>0.5</v>
      </c>
      <c r="V93" s="84">
        <f>N93*AM93</f>
        <v>15000</v>
      </c>
      <c r="W93" s="31"/>
      <c r="X93" s="288">
        <v>11883</v>
      </c>
      <c r="Y93" s="288">
        <v>781</v>
      </c>
      <c r="Z93" s="31"/>
      <c r="AA93" s="31"/>
      <c r="AB93" s="322"/>
      <c r="AC93" s="322"/>
      <c r="AD93" s="336"/>
      <c r="AE93" s="336"/>
      <c r="AF93" s="336"/>
      <c r="AG93" s="336"/>
      <c r="AH93" s="336"/>
      <c r="AI93" s="260">
        <v>2336</v>
      </c>
      <c r="AJ93" s="31"/>
      <c r="AK93" s="260"/>
      <c r="AL93" s="31"/>
      <c r="AM93" s="53">
        <v>0.5</v>
      </c>
      <c r="AN93" s="31">
        <f>N93*AO93</f>
        <v>0</v>
      </c>
      <c r="AO93" s="41"/>
      <c r="AP93" s="31">
        <f>N93*AQ93</f>
        <v>0</v>
      </c>
      <c r="AQ93" s="41"/>
      <c r="AR93" s="31">
        <f>N93*AS93</f>
        <v>0</v>
      </c>
      <c r="AS93" s="41"/>
      <c r="AT93" s="31">
        <f>N93*AU93</f>
        <v>0</v>
      </c>
      <c r="AU93" s="41"/>
      <c r="AV93" s="50">
        <f>N93*AW93</f>
        <v>0</v>
      </c>
      <c r="AW93" s="41"/>
      <c r="AX93" s="51"/>
      <c r="AY93" s="68"/>
      <c r="AZ93" s="34">
        <f>Tableau13[[#This Row],[Bailleurs]]-SUM(Tableau13[[#This Row],[LOGIREP]:[France Habitation]])</f>
        <v>0</v>
      </c>
      <c r="BA93" s="34">
        <f>Tableau13[[#This Row],[Base de financement]]-Tableau13[[#This Row],[Subvention ANRU]]-Tableau13[[#This Row],[Ville]]-Tableau13[[#This Row],[Plaine Commune]]-Tableau13[[#This Row],[Bailleurs]]-Tableau13[[#This Row],[CDC]]-Tableau13[[#This Row],[Autres]]</f>
        <v>0</v>
      </c>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5"/>
      <c r="EH93" s="35"/>
      <c r="EI93" s="35"/>
      <c r="EJ93" s="35"/>
      <c r="EK93" s="35"/>
      <c r="EL93" s="35"/>
      <c r="EM93" s="35"/>
      <c r="EN93" s="35"/>
      <c r="EO93" s="35"/>
      <c r="EP93" s="35"/>
      <c r="EQ93" s="35"/>
      <c r="ER93" s="35"/>
      <c r="ES93" s="35"/>
      <c r="ET93" s="35"/>
    </row>
    <row r="94" spans="1:150" s="36" customFormat="1" ht="60" customHeight="1" x14ac:dyDescent="0.25">
      <c r="A94" s="21" t="s">
        <v>807</v>
      </c>
      <c r="B94" s="22" t="s">
        <v>968</v>
      </c>
      <c r="C94" s="37" t="s">
        <v>974</v>
      </c>
      <c r="D94" s="29" t="s">
        <v>975</v>
      </c>
      <c r="E94" s="485">
        <v>50</v>
      </c>
      <c r="F94" s="485">
        <v>50</v>
      </c>
      <c r="G94" s="485"/>
      <c r="H94" s="29" t="s">
        <v>955</v>
      </c>
      <c r="I94" s="68" t="s">
        <v>956</v>
      </c>
      <c r="J94" s="46" t="s">
        <v>823</v>
      </c>
      <c r="K94" s="267">
        <v>25000</v>
      </c>
      <c r="L94" s="53">
        <v>0.2</v>
      </c>
      <c r="M94" s="70">
        <v>30000</v>
      </c>
      <c r="N94" s="54">
        <v>25000</v>
      </c>
      <c r="O94" s="54">
        <f t="shared" si="1"/>
        <v>0</v>
      </c>
      <c r="P94" s="137">
        <v>0</v>
      </c>
      <c r="Q94" s="138" t="s">
        <v>971</v>
      </c>
      <c r="R94" s="54">
        <v>0</v>
      </c>
      <c r="S94" s="53"/>
      <c r="T94" s="55">
        <f t="shared" si="2"/>
        <v>12500</v>
      </c>
      <c r="U94" s="53">
        <v>0.5</v>
      </c>
      <c r="V94" s="192">
        <f>N94*AM94</f>
        <v>12500</v>
      </c>
      <c r="W94" s="54"/>
      <c r="X94" s="289"/>
      <c r="Y94" s="289"/>
      <c r="Z94" s="54"/>
      <c r="AA94" s="54">
        <v>12500</v>
      </c>
      <c r="AB94" s="320"/>
      <c r="AC94" s="320"/>
      <c r="AD94" s="334"/>
      <c r="AE94" s="334"/>
      <c r="AF94" s="334"/>
      <c r="AG94" s="334"/>
      <c r="AH94" s="334"/>
      <c r="AI94" s="273"/>
      <c r="AJ94" s="54"/>
      <c r="AK94" s="273"/>
      <c r="AL94" s="54"/>
      <c r="AM94" s="53">
        <v>0.5</v>
      </c>
      <c r="AN94" s="54">
        <v>0</v>
      </c>
      <c r="AO94" s="53"/>
      <c r="AP94" s="54">
        <v>0</v>
      </c>
      <c r="AQ94" s="53"/>
      <c r="AR94" s="54">
        <v>0</v>
      </c>
      <c r="AS94" s="53"/>
      <c r="AT94" s="54">
        <v>0</v>
      </c>
      <c r="AU94" s="53"/>
      <c r="AV94" s="56">
        <v>0</v>
      </c>
      <c r="AW94" s="53"/>
      <c r="AX94" s="57">
        <v>42430</v>
      </c>
      <c r="AY94" s="29">
        <v>6</v>
      </c>
      <c r="AZ94" s="431">
        <f>Tableau13[[#This Row],[Bailleurs]]-SUM(Tableau13[[#This Row],[LOGIREP]:[France Habitation]])</f>
        <v>0</v>
      </c>
      <c r="BA94" s="34">
        <f>Tableau13[[#This Row],[Base de financement]]-Tableau13[[#This Row],[Subvention ANRU]]-Tableau13[[#This Row],[Ville]]-Tableau13[[#This Row],[Plaine Commune]]-Tableau13[[#This Row],[Bailleurs]]-Tableau13[[#This Row],[CDC]]-Tableau13[[#This Row],[Autres]]</f>
        <v>0</v>
      </c>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5"/>
      <c r="EH94" s="35"/>
      <c r="EI94" s="35"/>
      <c r="EJ94" s="35"/>
      <c r="EK94" s="35"/>
      <c r="EL94" s="35"/>
      <c r="EM94" s="35"/>
      <c r="EN94" s="35"/>
      <c r="EO94" s="35"/>
      <c r="EP94" s="35"/>
      <c r="EQ94" s="35"/>
      <c r="ER94" s="35"/>
      <c r="ES94" s="35"/>
      <c r="ET94" s="35"/>
    </row>
    <row r="95" spans="1:150" s="36" customFormat="1" ht="60" customHeight="1" x14ac:dyDescent="0.25">
      <c r="A95" s="139" t="s">
        <v>655</v>
      </c>
      <c r="B95" s="140" t="s">
        <v>976</v>
      </c>
      <c r="C95" s="23" t="s">
        <v>977</v>
      </c>
      <c r="D95" s="141" t="s">
        <v>978</v>
      </c>
      <c r="E95" s="494"/>
      <c r="F95" s="494"/>
      <c r="G95" s="494"/>
      <c r="H95" s="141" t="s">
        <v>955</v>
      </c>
      <c r="I95" s="68" t="s">
        <v>956</v>
      </c>
      <c r="J95" s="46" t="s">
        <v>823</v>
      </c>
      <c r="K95" s="142">
        <v>22000</v>
      </c>
      <c r="L95" s="143">
        <v>0.2</v>
      </c>
      <c r="M95" s="70">
        <f>Tableau13[[#This Row],[Coût HT]]*1.2</f>
        <v>26400</v>
      </c>
      <c r="N95" s="144">
        <f t="shared" ref="N95:N101" si="3">K95</f>
        <v>22000</v>
      </c>
      <c r="O95" s="144">
        <f t="shared" si="1"/>
        <v>11000</v>
      </c>
      <c r="P95" s="145">
        <v>0.5</v>
      </c>
      <c r="Q95" s="24"/>
      <c r="R95" s="146"/>
      <c r="S95" s="141"/>
      <c r="T95" s="147">
        <f t="shared" si="2"/>
        <v>11000</v>
      </c>
      <c r="U95" s="145">
        <v>0.5</v>
      </c>
      <c r="V95" s="146">
        <v>0</v>
      </c>
      <c r="W95" s="146"/>
      <c r="X95" s="310"/>
      <c r="Y95" s="310"/>
      <c r="Z95" s="146"/>
      <c r="AA95" s="146">
        <f>Tableau13[[#This Row],[Bailleurs]]*12.5%</f>
        <v>0</v>
      </c>
      <c r="AB95" s="330"/>
      <c r="AC95" s="330"/>
      <c r="AD95" s="330"/>
      <c r="AE95" s="330"/>
      <c r="AF95" s="330"/>
      <c r="AG95" s="330"/>
      <c r="AH95" s="330"/>
      <c r="AI95" s="280"/>
      <c r="AJ95" s="146"/>
      <c r="AK95" s="280"/>
      <c r="AL95" s="146"/>
      <c r="AM95" s="145"/>
      <c r="AN95" s="27"/>
      <c r="AO95" s="145"/>
      <c r="AP95" s="146"/>
      <c r="AQ95" s="145"/>
      <c r="AR95" s="146"/>
      <c r="AS95" s="145"/>
      <c r="AT95" s="146"/>
      <c r="AU95" s="145"/>
      <c r="AV95" s="145"/>
      <c r="AW95" s="145"/>
      <c r="AX95" s="148">
        <v>42370</v>
      </c>
      <c r="AY95" s="141">
        <v>24</v>
      </c>
      <c r="AZ95" s="34">
        <f>Tableau13[[#This Row],[Bailleurs]]-SUM(Tableau13[[#This Row],[LOGIREP]:[France Habitation]])</f>
        <v>0</v>
      </c>
      <c r="BA95" s="34">
        <f>Tableau13[[#This Row],[Base de financement]]-Tableau13[[#This Row],[Subvention ANRU]]-Tableau13[[#This Row],[Ville]]-Tableau13[[#This Row],[Plaine Commune]]-Tableau13[[#This Row],[Bailleurs]]-Tableau13[[#This Row],[CDC]]-Tableau13[[#This Row],[Autres]]</f>
        <v>0</v>
      </c>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5"/>
      <c r="EH95" s="35"/>
      <c r="EI95" s="35"/>
      <c r="EJ95" s="35"/>
      <c r="EK95" s="35"/>
      <c r="EL95" s="35"/>
      <c r="EM95" s="35"/>
      <c r="EN95" s="35"/>
      <c r="EO95" s="35"/>
      <c r="EP95" s="35"/>
      <c r="EQ95" s="35"/>
      <c r="ER95" s="35"/>
      <c r="ES95" s="35"/>
      <c r="ET95" s="35"/>
    </row>
    <row r="96" spans="1:150" s="122" customFormat="1" ht="60" customHeight="1" x14ac:dyDescent="0.25">
      <c r="A96" s="21" t="s">
        <v>238</v>
      </c>
      <c r="B96" s="22" t="s">
        <v>976</v>
      </c>
      <c r="C96" s="37" t="s">
        <v>979</v>
      </c>
      <c r="D96" s="29" t="s">
        <v>980</v>
      </c>
      <c r="E96" s="485"/>
      <c r="F96" s="485"/>
      <c r="G96" s="485"/>
      <c r="H96" s="29" t="s">
        <v>955</v>
      </c>
      <c r="I96" s="68" t="s">
        <v>956</v>
      </c>
      <c r="J96" s="46" t="s">
        <v>823</v>
      </c>
      <c r="K96" s="134">
        <v>22000</v>
      </c>
      <c r="L96" s="53">
        <v>0.2</v>
      </c>
      <c r="M96" s="70">
        <f>Tableau13[[#This Row],[Coût HT]]*1.2</f>
        <v>26400</v>
      </c>
      <c r="N96" s="54">
        <f t="shared" si="3"/>
        <v>22000</v>
      </c>
      <c r="O96" s="54">
        <f t="shared" si="1"/>
        <v>11000</v>
      </c>
      <c r="P96" s="71">
        <v>0.5</v>
      </c>
      <c r="Q96" s="29"/>
      <c r="R96" s="54">
        <f>S96*N96</f>
        <v>0</v>
      </c>
      <c r="S96" s="53"/>
      <c r="T96" s="55">
        <f>Tableau13[[#This Row],[Subvention ANRU]]-Tableau13[[#This Row],[Bailleurs]]</f>
        <v>5500</v>
      </c>
      <c r="U96" s="61">
        <v>0.5</v>
      </c>
      <c r="V96" s="192">
        <f>N96*AM96</f>
        <v>5500</v>
      </c>
      <c r="W96" s="54"/>
      <c r="X96" s="289"/>
      <c r="Y96" s="289"/>
      <c r="Z96" s="54">
        <v>5500</v>
      </c>
      <c r="AA96" s="54"/>
      <c r="AB96" s="320"/>
      <c r="AC96" s="320"/>
      <c r="AD96" s="334"/>
      <c r="AE96" s="334"/>
      <c r="AF96" s="334"/>
      <c r="AG96" s="334"/>
      <c r="AH96" s="334"/>
      <c r="AI96" s="273"/>
      <c r="AJ96" s="54"/>
      <c r="AK96" s="273"/>
      <c r="AL96" s="54"/>
      <c r="AM96" s="53">
        <v>0.25</v>
      </c>
      <c r="AN96" s="54">
        <f>N96*AO96</f>
        <v>0</v>
      </c>
      <c r="AO96" s="53"/>
      <c r="AP96" s="54">
        <f>N96*AQ96</f>
        <v>0</v>
      </c>
      <c r="AQ96" s="53"/>
      <c r="AR96" s="54">
        <f>N96*AS96</f>
        <v>0</v>
      </c>
      <c r="AS96" s="53"/>
      <c r="AT96" s="54">
        <f>N96*AU96</f>
        <v>0</v>
      </c>
      <c r="AU96" s="53"/>
      <c r="AV96" s="56">
        <f>N96*AW96</f>
        <v>0</v>
      </c>
      <c r="AW96" s="53"/>
      <c r="AX96" s="57">
        <v>42370</v>
      </c>
      <c r="AY96" s="149">
        <v>24</v>
      </c>
      <c r="AZ96" s="34">
        <f>Tableau13[[#This Row],[Bailleurs]]-SUM(Tableau13[[#This Row],[LOGIREP]:[France Habitation]])</f>
        <v>0</v>
      </c>
      <c r="BA96" s="122">
        <f>Tableau13[[#This Row],[Base de financement]]-Tableau13[[#This Row],[Subvention ANRU]]-Tableau13[[#This Row],[Ville]]-Tableau13[[#This Row],[Plaine Commune]]-Tableau13[[#This Row],[Bailleurs]]-Tableau13[[#This Row],[CDC]]-Tableau13[[#This Row],[Autres]]</f>
        <v>0</v>
      </c>
      <c r="EG96" s="123"/>
      <c r="EH96" s="123"/>
      <c r="EI96" s="123"/>
      <c r="EJ96" s="123"/>
      <c r="EK96" s="123"/>
      <c r="EL96" s="123"/>
      <c r="EM96" s="123"/>
      <c r="EN96" s="123"/>
      <c r="EO96" s="123"/>
      <c r="EP96" s="123"/>
      <c r="EQ96" s="123"/>
      <c r="ER96" s="123"/>
      <c r="ES96" s="123"/>
      <c r="ET96" s="123"/>
    </row>
    <row r="97" spans="1:150" s="122" customFormat="1" ht="60" customHeight="1" x14ac:dyDescent="0.25">
      <c r="A97" s="21" t="s">
        <v>238</v>
      </c>
      <c r="B97" s="22" t="s">
        <v>976</v>
      </c>
      <c r="C97" s="150" t="s">
        <v>981</v>
      </c>
      <c r="D97" s="24" t="s">
        <v>1161</v>
      </c>
      <c r="E97" s="488"/>
      <c r="F97" s="488"/>
      <c r="G97" s="488"/>
      <c r="H97" s="29" t="s">
        <v>955</v>
      </c>
      <c r="I97" s="68" t="s">
        <v>956</v>
      </c>
      <c r="J97" s="46" t="s">
        <v>823</v>
      </c>
      <c r="K97" s="134">
        <v>22000</v>
      </c>
      <c r="L97" s="53">
        <v>0.2</v>
      </c>
      <c r="M97" s="70">
        <f>Tableau13[[#This Row],[Coût HT]]*1.2</f>
        <v>26400</v>
      </c>
      <c r="N97" s="54">
        <f t="shared" si="3"/>
        <v>22000</v>
      </c>
      <c r="O97" s="54">
        <f t="shared" si="1"/>
        <v>11000</v>
      </c>
      <c r="P97" s="71">
        <v>0.5</v>
      </c>
      <c r="Q97" s="74"/>
      <c r="R97" s="54"/>
      <c r="S97" s="71"/>
      <c r="T97" s="55">
        <f>Tableau13[[#This Row],[Subvention ANRU]]-Tableau13[[#This Row],[Bailleurs]]</f>
        <v>5500</v>
      </c>
      <c r="U97" s="61">
        <v>0.5</v>
      </c>
      <c r="V97" s="192">
        <f>N97*AM97</f>
        <v>5500</v>
      </c>
      <c r="W97" s="54"/>
      <c r="X97" s="289"/>
      <c r="Y97" s="289"/>
      <c r="Z97" s="54">
        <v>5500</v>
      </c>
      <c r="AA97" s="54"/>
      <c r="AB97" s="320"/>
      <c r="AC97" s="320"/>
      <c r="AD97" s="334"/>
      <c r="AE97" s="334"/>
      <c r="AF97" s="334"/>
      <c r="AG97" s="334"/>
      <c r="AH97" s="334"/>
      <c r="AI97" s="273"/>
      <c r="AJ97" s="54"/>
      <c r="AK97" s="273"/>
      <c r="AL97" s="54"/>
      <c r="AM97" s="71">
        <v>0.25</v>
      </c>
      <c r="AN97" s="54">
        <f>AO97*N97</f>
        <v>0</v>
      </c>
      <c r="AO97" s="71"/>
      <c r="AP97" s="54">
        <f>AQ97*N97</f>
        <v>0</v>
      </c>
      <c r="AQ97" s="71"/>
      <c r="AR97" s="54">
        <f>AS97*N97</f>
        <v>0</v>
      </c>
      <c r="AS97" s="71"/>
      <c r="AT97" s="54">
        <f>AU97*N97</f>
        <v>0</v>
      </c>
      <c r="AU97" s="71"/>
      <c r="AV97" s="56">
        <f>AW97*N97</f>
        <v>0</v>
      </c>
      <c r="AW97" s="71"/>
      <c r="AX97" s="73">
        <v>42370</v>
      </c>
      <c r="AY97" s="74">
        <v>18</v>
      </c>
      <c r="AZ97" s="34">
        <f>Tableau13[[#This Row],[Bailleurs]]-SUM(Tableau13[[#This Row],[LOGIREP]:[France Habitation]])</f>
        <v>0</v>
      </c>
      <c r="BA97" s="122">
        <f>Tableau13[[#This Row],[Base de financement]]-Tableau13[[#This Row],[Subvention ANRU]]-Tableau13[[#This Row],[Ville]]-Tableau13[[#This Row],[Plaine Commune]]-Tableau13[[#This Row],[Bailleurs]]-Tableau13[[#This Row],[CDC]]-Tableau13[[#This Row],[Autres]]</f>
        <v>0</v>
      </c>
      <c r="EG97" s="123"/>
      <c r="EH97" s="123"/>
      <c r="EI97" s="123"/>
      <c r="EJ97" s="123"/>
      <c r="EK97" s="123"/>
      <c r="EL97" s="123"/>
      <c r="EM97" s="123"/>
      <c r="EN97" s="123"/>
      <c r="EO97" s="123"/>
      <c r="EP97" s="123"/>
      <c r="EQ97" s="123"/>
      <c r="ER97" s="123"/>
      <c r="ES97" s="123"/>
      <c r="ET97" s="123"/>
    </row>
    <row r="98" spans="1:150" s="34" customFormat="1" ht="60" customHeight="1" x14ac:dyDescent="0.25">
      <c r="A98" s="151" t="s">
        <v>585</v>
      </c>
      <c r="B98" s="152" t="s">
        <v>976</v>
      </c>
      <c r="C98" s="153" t="s">
        <v>982</v>
      </c>
      <c r="D98" s="154" t="s">
        <v>1163</v>
      </c>
      <c r="E98" s="154"/>
      <c r="F98" s="154"/>
      <c r="G98" s="154"/>
      <c r="H98" s="155" t="s">
        <v>113</v>
      </c>
      <c r="I98" s="68" t="s">
        <v>956</v>
      </c>
      <c r="J98" s="46" t="s">
        <v>823</v>
      </c>
      <c r="K98" s="156">
        <v>27000</v>
      </c>
      <c r="L98" s="157">
        <v>0.2</v>
      </c>
      <c r="M98" s="70">
        <f>Tableau13[[#This Row],[Coût HT]]*1.2</f>
        <v>32400</v>
      </c>
      <c r="N98" s="158">
        <f t="shared" si="3"/>
        <v>27000</v>
      </c>
      <c r="O98" s="159">
        <f>K98*P98</f>
        <v>13500</v>
      </c>
      <c r="P98" s="157">
        <v>0.5</v>
      </c>
      <c r="Q98" s="154"/>
      <c r="R98" s="159">
        <f>K98*S98</f>
        <v>0</v>
      </c>
      <c r="S98" s="157">
        <v>0</v>
      </c>
      <c r="T98" s="160">
        <f t="shared" si="2"/>
        <v>13500</v>
      </c>
      <c r="U98" s="157">
        <v>0.5</v>
      </c>
      <c r="V98" s="159">
        <f>K98*AM98</f>
        <v>0</v>
      </c>
      <c r="W98" s="159"/>
      <c r="X98" s="159"/>
      <c r="Y98" s="159"/>
      <c r="Z98" s="159"/>
      <c r="AA98" s="159">
        <f>Tableau13[[#This Row],[Bailleurs]]*12.5%</f>
        <v>0</v>
      </c>
      <c r="AB98" s="159"/>
      <c r="AC98" s="159"/>
      <c r="AD98" s="159"/>
      <c r="AE98" s="159"/>
      <c r="AF98" s="159"/>
      <c r="AG98" s="159"/>
      <c r="AH98" s="159"/>
      <c r="AI98" s="159"/>
      <c r="AJ98" s="159"/>
      <c r="AK98" s="159"/>
      <c r="AL98" s="159"/>
      <c r="AM98" s="157">
        <v>0</v>
      </c>
      <c r="AN98" s="159">
        <f>K98*AO98</f>
        <v>0</v>
      </c>
      <c r="AO98" s="157"/>
      <c r="AP98" s="159">
        <f>K98*AQ98</f>
        <v>0</v>
      </c>
      <c r="AQ98" s="157"/>
      <c r="AR98" s="159">
        <f>K98*AS98</f>
        <v>0</v>
      </c>
      <c r="AS98" s="157"/>
      <c r="AT98" s="159">
        <f>K98*AU98</f>
        <v>0</v>
      </c>
      <c r="AU98" s="157"/>
      <c r="AV98" s="161">
        <f>K98*AW98</f>
        <v>0</v>
      </c>
      <c r="AW98" s="157"/>
      <c r="AX98" s="162">
        <v>42378</v>
      </c>
      <c r="AY98" s="154">
        <v>24</v>
      </c>
      <c r="AZ98" s="34">
        <f>Tableau13[[#This Row],[Bailleurs]]-SUM(Tableau13[[#This Row],[LOGIREP]:[France Habitation]])</f>
        <v>0</v>
      </c>
      <c r="BA98" s="34">
        <f>Tableau13[[#This Row],[Base de financement]]-Tableau13[[#This Row],[Subvention ANRU]]-Tableau13[[#This Row],[Ville]]-Tableau13[[#This Row],[Plaine Commune]]-Tableau13[[#This Row],[Bailleurs]]-Tableau13[[#This Row],[CDC]]-Tableau13[[#This Row],[Autres]]</f>
        <v>0</v>
      </c>
      <c r="EG98" s="35"/>
      <c r="EH98" s="35"/>
      <c r="EI98" s="35"/>
      <c r="EJ98" s="35"/>
      <c r="EK98" s="35"/>
      <c r="EL98" s="35"/>
      <c r="EM98" s="35"/>
      <c r="EN98" s="35"/>
      <c r="EO98" s="35"/>
      <c r="EP98" s="35"/>
      <c r="EQ98" s="35"/>
      <c r="ER98" s="35"/>
      <c r="ES98" s="35"/>
      <c r="ET98" s="35"/>
    </row>
    <row r="99" spans="1:150" ht="60" customHeight="1" x14ac:dyDescent="0.25">
      <c r="A99" s="21" t="s">
        <v>418</v>
      </c>
      <c r="B99" s="22" t="s">
        <v>976</v>
      </c>
      <c r="C99" s="59" t="s">
        <v>983</v>
      </c>
      <c r="D99" s="29" t="s">
        <v>984</v>
      </c>
      <c r="E99" s="485"/>
      <c r="F99" s="485"/>
      <c r="G99" s="485"/>
      <c r="H99" s="29" t="s">
        <v>955</v>
      </c>
      <c r="I99" s="68" t="s">
        <v>956</v>
      </c>
      <c r="J99" s="46" t="s">
        <v>823</v>
      </c>
      <c r="K99" s="52">
        <v>22000</v>
      </c>
      <c r="L99" s="53">
        <v>0.2</v>
      </c>
      <c r="M99" s="70">
        <f>Tableau13[[#This Row],[Coût HT]]*1.2</f>
        <v>26400</v>
      </c>
      <c r="N99" s="54">
        <f t="shared" si="3"/>
        <v>22000</v>
      </c>
      <c r="O99" s="54">
        <f>N99*P99</f>
        <v>11000</v>
      </c>
      <c r="P99" s="53">
        <v>0.5</v>
      </c>
      <c r="Q99" s="29"/>
      <c r="R99" s="54">
        <v>0</v>
      </c>
      <c r="S99" s="53"/>
      <c r="T99" s="55">
        <f t="shared" si="2"/>
        <v>11000</v>
      </c>
      <c r="U99" s="53">
        <v>0.5</v>
      </c>
      <c r="V99" s="54">
        <v>0</v>
      </c>
      <c r="W99" s="54"/>
      <c r="X99" s="289"/>
      <c r="Y99" s="289"/>
      <c r="Z99" s="54"/>
      <c r="AA99" s="54">
        <f>Tableau13[[#This Row],[Bailleurs]]*12.5%</f>
        <v>0</v>
      </c>
      <c r="AB99" s="320"/>
      <c r="AC99" s="320"/>
      <c r="AD99" s="334"/>
      <c r="AE99" s="334"/>
      <c r="AF99" s="334"/>
      <c r="AG99" s="334"/>
      <c r="AH99" s="334"/>
      <c r="AI99" s="273"/>
      <c r="AJ99" s="54"/>
      <c r="AK99" s="273"/>
      <c r="AL99" s="54"/>
      <c r="AM99" s="53"/>
      <c r="AN99" s="54">
        <v>0</v>
      </c>
      <c r="AO99" s="53"/>
      <c r="AP99" s="54">
        <v>0</v>
      </c>
      <c r="AQ99" s="53"/>
      <c r="AR99" s="54">
        <v>0</v>
      </c>
      <c r="AS99" s="53"/>
      <c r="AT99" s="54">
        <v>0</v>
      </c>
      <c r="AU99" s="53"/>
      <c r="AV99" s="56">
        <v>0</v>
      </c>
      <c r="AW99" s="53"/>
      <c r="AX99" s="57">
        <v>42370</v>
      </c>
      <c r="AY99" s="29">
        <v>24</v>
      </c>
      <c r="AZ99" s="34">
        <f>Tableau13[[#This Row],[Bailleurs]]-SUM(Tableau13[[#This Row],[LOGIREP]:[France Habitation]])</f>
        <v>0</v>
      </c>
      <c r="BA99" s="163">
        <f>Tableau13[[#This Row],[Base de financement]]-Tableau13[[#This Row],[Subvention ANRU]]-Tableau13[[#This Row],[Ville]]-Tableau13[[#This Row],[Plaine Commune]]-Tableau13[[#This Row],[Bailleurs]]-Tableau13[[#This Row],[CDC]]-Tableau13[[#This Row],[Autres]]</f>
        <v>0</v>
      </c>
      <c r="EF99" s="163"/>
      <c r="ET99" s="164"/>
    </row>
    <row r="100" spans="1:150" ht="60" customHeight="1" x14ac:dyDescent="0.25">
      <c r="A100" s="21" t="s">
        <v>418</v>
      </c>
      <c r="B100" s="22" t="s">
        <v>976</v>
      </c>
      <c r="C100" s="59" t="s">
        <v>985</v>
      </c>
      <c r="D100" s="94" t="s">
        <v>984</v>
      </c>
      <c r="E100" s="483"/>
      <c r="F100" s="483"/>
      <c r="G100" s="483"/>
      <c r="H100" s="66" t="s">
        <v>955</v>
      </c>
      <c r="I100" s="68" t="s">
        <v>956</v>
      </c>
      <c r="J100" s="46" t="s">
        <v>823</v>
      </c>
      <c r="K100" s="52">
        <v>22000</v>
      </c>
      <c r="L100" s="53">
        <v>0.2</v>
      </c>
      <c r="M100" s="70">
        <f>Tableau13[[#This Row],[Coût HT]]*1.2</f>
        <v>26400</v>
      </c>
      <c r="N100" s="54">
        <f t="shared" si="3"/>
        <v>22000</v>
      </c>
      <c r="O100" s="54">
        <f>N100*P100</f>
        <v>11000</v>
      </c>
      <c r="P100" s="53">
        <v>0.5</v>
      </c>
      <c r="Q100" s="29"/>
      <c r="R100" s="54">
        <v>0</v>
      </c>
      <c r="S100" s="53"/>
      <c r="T100" s="55">
        <f t="shared" si="2"/>
        <v>11000</v>
      </c>
      <c r="U100" s="53">
        <v>0.5</v>
      </c>
      <c r="V100" s="54">
        <v>0</v>
      </c>
      <c r="W100" s="54"/>
      <c r="X100" s="289"/>
      <c r="Y100" s="289"/>
      <c r="Z100" s="54"/>
      <c r="AA100" s="54">
        <f>Tableau13[[#This Row],[Bailleurs]]*12.5%</f>
        <v>0</v>
      </c>
      <c r="AB100" s="320"/>
      <c r="AC100" s="320"/>
      <c r="AD100" s="334"/>
      <c r="AE100" s="334"/>
      <c r="AF100" s="334"/>
      <c r="AG100" s="334"/>
      <c r="AH100" s="334"/>
      <c r="AI100" s="273"/>
      <c r="AJ100" s="54"/>
      <c r="AK100" s="273"/>
      <c r="AL100" s="54"/>
      <c r="AM100" s="53"/>
      <c r="AN100" s="54">
        <v>0</v>
      </c>
      <c r="AO100" s="53"/>
      <c r="AP100" s="54">
        <v>0</v>
      </c>
      <c r="AQ100" s="53"/>
      <c r="AR100" s="54">
        <v>0</v>
      </c>
      <c r="AS100" s="53"/>
      <c r="AT100" s="54">
        <v>0</v>
      </c>
      <c r="AU100" s="53"/>
      <c r="AV100" s="56">
        <v>0</v>
      </c>
      <c r="AW100" s="53"/>
      <c r="AX100" s="57">
        <v>42370</v>
      </c>
      <c r="AY100" s="29">
        <v>24</v>
      </c>
      <c r="AZ100" s="34">
        <f>Tableau13[[#This Row],[Bailleurs]]-SUM(Tableau13[[#This Row],[LOGIREP]:[France Habitation]])</f>
        <v>0</v>
      </c>
      <c r="BA100" s="163">
        <f>Tableau13[[#This Row],[Base de financement]]-Tableau13[[#This Row],[Subvention ANRU]]-Tableau13[[#This Row],[Ville]]-Tableau13[[#This Row],[Plaine Commune]]-Tableau13[[#This Row],[Bailleurs]]-Tableau13[[#This Row],[CDC]]-Tableau13[[#This Row],[Autres]]</f>
        <v>0</v>
      </c>
      <c r="EF100" s="163"/>
      <c r="ET100" s="164"/>
    </row>
    <row r="101" spans="1:150" ht="60" customHeight="1" x14ac:dyDescent="0.25">
      <c r="A101" s="21" t="s">
        <v>418</v>
      </c>
      <c r="B101" s="22" t="s">
        <v>976</v>
      </c>
      <c r="C101" s="59" t="s">
        <v>986</v>
      </c>
      <c r="D101" s="66" t="s">
        <v>984</v>
      </c>
      <c r="E101" s="492"/>
      <c r="F101" s="492"/>
      <c r="G101" s="492"/>
      <c r="H101" s="66" t="s">
        <v>955</v>
      </c>
      <c r="I101" s="68" t="s">
        <v>956</v>
      </c>
      <c r="J101" s="46" t="s">
        <v>823</v>
      </c>
      <c r="K101" s="52">
        <v>22000</v>
      </c>
      <c r="L101" s="53">
        <v>0.2</v>
      </c>
      <c r="M101" s="70">
        <f>Tableau13[[#This Row],[Coût HT]]*1.2</f>
        <v>26400</v>
      </c>
      <c r="N101" s="54">
        <f t="shared" si="3"/>
        <v>22000</v>
      </c>
      <c r="O101" s="54">
        <f>N101*P101</f>
        <v>11000</v>
      </c>
      <c r="P101" s="53">
        <v>0.5</v>
      </c>
      <c r="Q101" s="29"/>
      <c r="R101" s="54">
        <v>0</v>
      </c>
      <c r="S101" s="53"/>
      <c r="T101" s="55">
        <f t="shared" si="2"/>
        <v>11000</v>
      </c>
      <c r="U101" s="53">
        <v>0.5</v>
      </c>
      <c r="V101" s="54">
        <v>0</v>
      </c>
      <c r="W101" s="54"/>
      <c r="X101" s="289"/>
      <c r="Y101" s="289"/>
      <c r="Z101" s="54"/>
      <c r="AA101" s="54">
        <f>Tableau13[[#This Row],[Bailleurs]]*12.5%</f>
        <v>0</v>
      </c>
      <c r="AB101" s="320"/>
      <c r="AC101" s="320"/>
      <c r="AD101" s="334"/>
      <c r="AE101" s="334"/>
      <c r="AF101" s="334"/>
      <c r="AG101" s="334"/>
      <c r="AH101" s="334"/>
      <c r="AI101" s="273"/>
      <c r="AJ101" s="54"/>
      <c r="AK101" s="273"/>
      <c r="AL101" s="54"/>
      <c r="AM101" s="53"/>
      <c r="AN101" s="54">
        <v>0</v>
      </c>
      <c r="AO101" s="53"/>
      <c r="AP101" s="54">
        <v>0</v>
      </c>
      <c r="AQ101" s="53"/>
      <c r="AR101" s="54">
        <v>0</v>
      </c>
      <c r="AS101" s="53"/>
      <c r="AT101" s="54">
        <v>0</v>
      </c>
      <c r="AU101" s="53"/>
      <c r="AV101" s="56">
        <v>0</v>
      </c>
      <c r="AW101" s="53"/>
      <c r="AX101" s="57">
        <v>42370</v>
      </c>
      <c r="AY101" s="29">
        <v>24</v>
      </c>
      <c r="AZ101" s="34">
        <f>Tableau13[[#This Row],[Bailleurs]]-SUM(Tableau13[[#This Row],[LOGIREP]:[France Habitation]])</f>
        <v>0</v>
      </c>
      <c r="BA101" s="163">
        <f>Tableau13[[#This Row],[Base de financement]]-Tableau13[[#This Row],[Subvention ANRU]]-Tableau13[[#This Row],[Ville]]-Tableau13[[#This Row],[Plaine Commune]]-Tableau13[[#This Row],[Bailleurs]]-Tableau13[[#This Row],[CDC]]-Tableau13[[#This Row],[Autres]]</f>
        <v>0</v>
      </c>
      <c r="EF101" s="163"/>
      <c r="ET101" s="164"/>
    </row>
    <row r="102" spans="1:150" ht="60" customHeight="1" x14ac:dyDescent="0.25">
      <c r="A102" s="21" t="s">
        <v>807</v>
      </c>
      <c r="B102" s="22" t="s">
        <v>976</v>
      </c>
      <c r="C102" s="150" t="s">
        <v>987</v>
      </c>
      <c r="D102" s="24" t="s">
        <v>1161</v>
      </c>
      <c r="E102" s="488"/>
      <c r="F102" s="488"/>
      <c r="G102" s="488"/>
      <c r="H102" s="29" t="s">
        <v>955</v>
      </c>
      <c r="I102" s="68" t="s">
        <v>956</v>
      </c>
      <c r="J102" s="46" t="s">
        <v>823</v>
      </c>
      <c r="K102" s="52">
        <v>22000</v>
      </c>
      <c r="L102" s="53">
        <v>0.2</v>
      </c>
      <c r="M102" s="70">
        <f>Tableau13[[#This Row],[Coût HT]]*1.2</f>
        <v>26400</v>
      </c>
      <c r="N102" s="54">
        <v>22000</v>
      </c>
      <c r="O102" s="54">
        <f>N102*P102</f>
        <v>11000</v>
      </c>
      <c r="P102" s="53">
        <v>0.5</v>
      </c>
      <c r="Q102" s="29"/>
      <c r="R102" s="54">
        <v>0</v>
      </c>
      <c r="S102" s="53"/>
      <c r="T102" s="55">
        <f t="shared" si="2"/>
        <v>11000</v>
      </c>
      <c r="U102" s="53">
        <v>0.5</v>
      </c>
      <c r="V102" s="54">
        <v>0</v>
      </c>
      <c r="W102" s="54"/>
      <c r="X102" s="289"/>
      <c r="Y102" s="289"/>
      <c r="Z102" s="54"/>
      <c r="AA102" s="54">
        <f>Tableau13[[#This Row],[Bailleurs]]*12.5%</f>
        <v>0</v>
      </c>
      <c r="AB102" s="320"/>
      <c r="AC102" s="320"/>
      <c r="AD102" s="334"/>
      <c r="AE102" s="334"/>
      <c r="AF102" s="334"/>
      <c r="AG102" s="334"/>
      <c r="AH102" s="334"/>
      <c r="AI102" s="273"/>
      <c r="AJ102" s="54"/>
      <c r="AK102" s="273"/>
      <c r="AL102" s="54"/>
      <c r="AM102" s="53"/>
      <c r="AN102" s="54">
        <v>0</v>
      </c>
      <c r="AO102" s="53"/>
      <c r="AP102" s="54">
        <v>0</v>
      </c>
      <c r="AQ102" s="53"/>
      <c r="AR102" s="54">
        <v>0</v>
      </c>
      <c r="AS102" s="53"/>
      <c r="AT102" s="54">
        <v>0</v>
      </c>
      <c r="AU102" s="53"/>
      <c r="AV102" s="56">
        <v>0</v>
      </c>
      <c r="AW102" s="53"/>
      <c r="AX102" s="57"/>
      <c r="AY102" s="29"/>
      <c r="AZ102" s="34">
        <f>Tableau13[[#This Row],[Bailleurs]]-SUM(Tableau13[[#This Row],[LOGIREP]:[France Habitation]])</f>
        <v>0</v>
      </c>
      <c r="BA102" s="163">
        <f>Tableau13[[#This Row],[Base de financement]]-Tableau13[[#This Row],[Subvention ANRU]]-Tableau13[[#This Row],[Ville]]-Tableau13[[#This Row],[Plaine Commune]]-Tableau13[[#This Row],[Bailleurs]]-Tableau13[[#This Row],[CDC]]-Tableau13[[#This Row],[Autres]]</f>
        <v>0</v>
      </c>
      <c r="EF102" s="163"/>
      <c r="ET102" s="164"/>
    </row>
    <row r="103" spans="1:150" ht="60" customHeight="1" x14ac:dyDescent="0.25">
      <c r="A103" s="21" t="s">
        <v>163</v>
      </c>
      <c r="B103" s="22" t="s">
        <v>976</v>
      </c>
      <c r="C103" s="59" t="s">
        <v>988</v>
      </c>
      <c r="D103" s="69" t="s">
        <v>1162</v>
      </c>
      <c r="E103" s="481"/>
      <c r="F103" s="481"/>
      <c r="G103" s="481"/>
      <c r="H103" s="29" t="s">
        <v>955</v>
      </c>
      <c r="I103" s="68" t="s">
        <v>956</v>
      </c>
      <c r="J103" s="46" t="s">
        <v>823</v>
      </c>
      <c r="K103" s="267">
        <v>25000</v>
      </c>
      <c r="L103" s="53">
        <v>0.2</v>
      </c>
      <c r="M103" s="70">
        <f>Tableau13[[#This Row],[Coût HT]]*1.2</f>
        <v>30000</v>
      </c>
      <c r="N103" s="52">
        <v>25000</v>
      </c>
      <c r="O103" s="54">
        <f>N103*P103</f>
        <v>12500</v>
      </c>
      <c r="P103" s="71">
        <v>0.5</v>
      </c>
      <c r="Q103" s="74"/>
      <c r="R103" s="70">
        <v>0</v>
      </c>
      <c r="S103" s="71"/>
      <c r="T103" s="55">
        <f t="shared" si="2"/>
        <v>12500</v>
      </c>
      <c r="U103" s="71">
        <v>0.5</v>
      </c>
      <c r="V103" s="70">
        <v>0</v>
      </c>
      <c r="W103" s="70"/>
      <c r="X103" s="311"/>
      <c r="Y103" s="311"/>
      <c r="Z103" s="70"/>
      <c r="AA103" s="70">
        <f>Tableau13[[#This Row],[Bailleurs]]*12.5%</f>
        <v>0</v>
      </c>
      <c r="AB103" s="331"/>
      <c r="AC103" s="331"/>
      <c r="AD103" s="344"/>
      <c r="AE103" s="344"/>
      <c r="AF103" s="344"/>
      <c r="AG103" s="344"/>
      <c r="AH103" s="344"/>
      <c r="AI103" s="281"/>
      <c r="AJ103" s="70"/>
      <c r="AK103" s="281"/>
      <c r="AL103" s="70"/>
      <c r="AM103" s="71"/>
      <c r="AN103" s="70">
        <v>0</v>
      </c>
      <c r="AO103" s="71"/>
      <c r="AP103" s="70">
        <v>0</v>
      </c>
      <c r="AQ103" s="71"/>
      <c r="AR103" s="70">
        <v>0</v>
      </c>
      <c r="AS103" s="71"/>
      <c r="AT103" s="70">
        <v>0</v>
      </c>
      <c r="AU103" s="71"/>
      <c r="AV103" s="72">
        <v>0</v>
      </c>
      <c r="AW103" s="71"/>
      <c r="AX103" s="73">
        <v>42370</v>
      </c>
      <c r="AY103" s="74">
        <v>24</v>
      </c>
      <c r="AZ103" s="186">
        <f>Tableau13[[#This Row],[Bailleurs]]-SUM(Tableau13[[#This Row],[LOGIREP]:[France Habitation]])</f>
        <v>0</v>
      </c>
      <c r="BA103" s="163">
        <f>Tableau13[[#This Row],[Base de financement]]-Tableau13[[#This Row],[Subvention ANRU]]-Tableau13[[#This Row],[Ville]]-Tableau13[[#This Row],[Plaine Commune]]-Tableau13[[#This Row],[Bailleurs]]-Tableau13[[#This Row],[CDC]]-Tableau13[[#This Row],[Autres]]</f>
        <v>0</v>
      </c>
      <c r="EF103" s="163"/>
      <c r="ET103" s="164"/>
    </row>
    <row r="104" spans="1:150" s="36" customFormat="1" ht="60" customHeight="1" x14ac:dyDescent="0.25">
      <c r="A104" s="21" t="s">
        <v>33</v>
      </c>
      <c r="B104" s="22" t="s">
        <v>976</v>
      </c>
      <c r="C104" s="165" t="s">
        <v>989</v>
      </c>
      <c r="D104" s="24" t="s">
        <v>1161</v>
      </c>
      <c r="E104" s="488"/>
      <c r="F104" s="488"/>
      <c r="G104" s="488"/>
      <c r="H104" s="29" t="s">
        <v>955</v>
      </c>
      <c r="I104" s="68" t="s">
        <v>956</v>
      </c>
      <c r="J104" s="46" t="s">
        <v>823</v>
      </c>
      <c r="K104" s="52">
        <v>22000</v>
      </c>
      <c r="L104" s="53">
        <v>0.2</v>
      </c>
      <c r="M104" s="70">
        <f>Tableau13[[#This Row],[Coût HT]]*1.2</f>
        <v>26400</v>
      </c>
      <c r="N104" s="54">
        <v>22000</v>
      </c>
      <c r="O104" s="54">
        <f>K104*P104</f>
        <v>11000</v>
      </c>
      <c r="P104" s="28">
        <v>0.5</v>
      </c>
      <c r="Q104" s="138"/>
      <c r="R104" s="54">
        <f>K104*S104</f>
        <v>0</v>
      </c>
      <c r="S104" s="53"/>
      <c r="T104" s="30">
        <f>K104*U104</f>
        <v>11000</v>
      </c>
      <c r="U104" s="71">
        <v>0.5</v>
      </c>
      <c r="V104" s="54">
        <f>K104*AM104</f>
        <v>0</v>
      </c>
      <c r="W104" s="54"/>
      <c r="X104" s="289"/>
      <c r="Y104" s="289"/>
      <c r="Z104" s="54"/>
      <c r="AA104" s="54">
        <f>Tableau13[[#This Row],[Bailleurs]]*12.5%</f>
        <v>0</v>
      </c>
      <c r="AB104" s="320"/>
      <c r="AC104" s="320"/>
      <c r="AD104" s="334"/>
      <c r="AE104" s="334"/>
      <c r="AF104" s="334"/>
      <c r="AG104" s="334"/>
      <c r="AH104" s="334"/>
      <c r="AI104" s="273"/>
      <c r="AJ104" s="54"/>
      <c r="AK104" s="273"/>
      <c r="AL104" s="54"/>
      <c r="AM104" s="53"/>
      <c r="AN104" s="54">
        <f>K104*AO104</f>
        <v>0</v>
      </c>
      <c r="AO104" s="71">
        <v>0</v>
      </c>
      <c r="AP104" s="54">
        <f>K104*AQ104</f>
        <v>0</v>
      </c>
      <c r="AQ104" s="53"/>
      <c r="AR104" s="54">
        <f>K104*AS104</f>
        <v>0</v>
      </c>
      <c r="AS104" s="53"/>
      <c r="AT104" s="54">
        <f>K104*AU104</f>
        <v>0</v>
      </c>
      <c r="AU104" s="53"/>
      <c r="AV104" s="117">
        <f>K104*AW104</f>
        <v>0</v>
      </c>
      <c r="AW104" s="53"/>
      <c r="AX104" s="57">
        <v>42370</v>
      </c>
      <c r="AY104" s="29">
        <v>12</v>
      </c>
      <c r="AZ104" s="166">
        <f>Tableau13[[#This Row],[Bailleurs]]-SUM(Tableau13[[#This Row],[LOGIREP]:[France Habitation]])</f>
        <v>0</v>
      </c>
      <c r="BA104" s="166">
        <f>Tableau13[[#This Row],[Base de financement]]-Tableau13[[#This Row],[Subvention ANRU]]-Tableau13[[#This Row],[Ville]]-Tableau13[[#This Row],[Plaine Commune]]-Tableau13[[#This Row],[Bailleurs]]-Tableau13[[#This Row],[CDC]]-Tableau13[[#This Row],[Autres]]</f>
        <v>0</v>
      </c>
      <c r="BB104" s="167"/>
      <c r="BC104" s="168"/>
      <c r="BD104" s="169"/>
      <c r="BE104" s="170"/>
      <c r="BF104" s="170"/>
      <c r="BG104" s="168"/>
      <c r="BH104" s="171"/>
      <c r="BI104" s="170"/>
      <c r="BJ104" s="168"/>
      <c r="BK104" s="170"/>
      <c r="BL104" s="168"/>
      <c r="BM104" s="170"/>
      <c r="BN104" s="168"/>
      <c r="BO104" s="170"/>
      <c r="BP104" s="168"/>
      <c r="BQ104" s="170"/>
      <c r="BR104" s="168"/>
      <c r="BS104" s="170"/>
      <c r="BT104" s="168"/>
      <c r="BU104" s="170"/>
      <c r="BV104" s="168"/>
      <c r="BW104" s="172"/>
      <c r="BX104" s="168"/>
      <c r="BY104" s="173"/>
      <c r="BZ104" s="171"/>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5"/>
      <c r="EH104" s="35"/>
      <c r="EI104" s="35"/>
      <c r="EJ104" s="35"/>
      <c r="EK104" s="35"/>
      <c r="EL104" s="35"/>
      <c r="EM104" s="35"/>
      <c r="EN104" s="35"/>
      <c r="EO104" s="35"/>
      <c r="EP104" s="35"/>
      <c r="EQ104" s="35"/>
      <c r="ER104" s="35"/>
      <c r="ES104" s="35"/>
      <c r="ET104" s="35"/>
    </row>
    <row r="105" spans="1:150" s="36" customFormat="1" ht="60" customHeight="1" x14ac:dyDescent="0.25">
      <c r="A105" s="21" t="s">
        <v>33</v>
      </c>
      <c r="B105" s="22" t="s">
        <v>976</v>
      </c>
      <c r="C105" s="165" t="s">
        <v>990</v>
      </c>
      <c r="D105" s="24" t="s">
        <v>1161</v>
      </c>
      <c r="E105" s="488"/>
      <c r="F105" s="488"/>
      <c r="G105" s="488"/>
      <c r="H105" s="66" t="s">
        <v>955</v>
      </c>
      <c r="I105" s="68" t="s">
        <v>956</v>
      </c>
      <c r="J105" s="46" t="s">
        <v>823</v>
      </c>
      <c r="K105" s="52">
        <v>22000</v>
      </c>
      <c r="L105" s="53">
        <v>0.2</v>
      </c>
      <c r="M105" s="70">
        <f>Tableau13[[#This Row],[Coût HT]]*1.2</f>
        <v>26400</v>
      </c>
      <c r="N105" s="105">
        <v>22000</v>
      </c>
      <c r="O105" s="54">
        <f>K105*P105</f>
        <v>11000</v>
      </c>
      <c r="P105" s="53">
        <v>0.5</v>
      </c>
      <c r="Q105" s="138"/>
      <c r="R105" s="54">
        <f>K105*S105</f>
        <v>0</v>
      </c>
      <c r="S105" s="71"/>
      <c r="T105" s="55">
        <f>K105*U105</f>
        <v>11000</v>
      </c>
      <c r="U105" s="71">
        <v>0.5</v>
      </c>
      <c r="V105" s="54">
        <f>K105*AM105</f>
        <v>0</v>
      </c>
      <c r="W105" s="54"/>
      <c r="X105" s="289"/>
      <c r="Y105" s="289"/>
      <c r="Z105" s="54"/>
      <c r="AA105" s="54">
        <f>Tableau13[[#This Row],[Bailleurs]]*12.5%</f>
        <v>0</v>
      </c>
      <c r="AB105" s="320"/>
      <c r="AC105" s="320"/>
      <c r="AD105" s="334"/>
      <c r="AE105" s="334"/>
      <c r="AF105" s="334"/>
      <c r="AG105" s="334"/>
      <c r="AH105" s="334"/>
      <c r="AI105" s="273"/>
      <c r="AJ105" s="54"/>
      <c r="AK105" s="273"/>
      <c r="AL105" s="54"/>
      <c r="AM105" s="71"/>
      <c r="AN105" s="54">
        <f>K105*AO105</f>
        <v>0</v>
      </c>
      <c r="AO105" s="71">
        <v>0</v>
      </c>
      <c r="AP105" s="54">
        <f>K105*AQ105</f>
        <v>0</v>
      </c>
      <c r="AQ105" s="71"/>
      <c r="AR105" s="54">
        <f>K105*AS105</f>
        <v>0</v>
      </c>
      <c r="AS105" s="71"/>
      <c r="AT105" s="54">
        <f>K105*AU105</f>
        <v>0</v>
      </c>
      <c r="AU105" s="71"/>
      <c r="AV105" s="56">
        <f>K105*AW105</f>
        <v>0</v>
      </c>
      <c r="AW105" s="71"/>
      <c r="AX105" s="73">
        <v>42370</v>
      </c>
      <c r="AY105" s="88">
        <v>16</v>
      </c>
      <c r="AZ105" s="432">
        <f>Tableau13[[#This Row],[Bailleurs]]-SUM(Tableau13[[#This Row],[LOGIREP]:[France Habitation]])</f>
        <v>0</v>
      </c>
      <c r="BA105" s="166">
        <f>Tableau13[[#This Row],[Base de financement]]-Tableau13[[#This Row],[Subvention ANRU]]-Tableau13[[#This Row],[Ville]]-Tableau13[[#This Row],[Plaine Commune]]-Tableau13[[#This Row],[Bailleurs]]-Tableau13[[#This Row],[CDC]]-Tableau13[[#This Row],[Autres]]</f>
        <v>0</v>
      </c>
      <c r="BB105" s="167"/>
      <c r="BC105" s="168"/>
      <c r="BD105" s="169"/>
      <c r="BE105" s="170"/>
      <c r="BF105" s="170"/>
      <c r="BG105" s="168"/>
      <c r="BH105" s="171"/>
      <c r="BI105" s="170"/>
      <c r="BJ105" s="168"/>
      <c r="BK105" s="170"/>
      <c r="BL105" s="168"/>
      <c r="BM105" s="170"/>
      <c r="BN105" s="168"/>
      <c r="BO105" s="170"/>
      <c r="BP105" s="168"/>
      <c r="BQ105" s="170"/>
      <c r="BR105" s="168"/>
      <c r="BS105" s="170"/>
      <c r="BT105" s="168"/>
      <c r="BU105" s="170"/>
      <c r="BV105" s="168"/>
      <c r="BW105" s="172"/>
      <c r="BX105" s="168"/>
      <c r="BY105" s="173"/>
      <c r="BZ105" s="171"/>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5"/>
      <c r="EH105" s="35"/>
      <c r="EI105" s="35"/>
      <c r="EJ105" s="35"/>
      <c r="EK105" s="35"/>
      <c r="EL105" s="35"/>
      <c r="EM105" s="35"/>
      <c r="EN105" s="35"/>
      <c r="EO105" s="35"/>
      <c r="EP105" s="35"/>
      <c r="EQ105" s="35"/>
      <c r="ER105" s="35"/>
      <c r="ES105" s="35"/>
      <c r="ET105" s="35"/>
    </row>
    <row r="106" spans="1:150" x14ac:dyDescent="0.25">
      <c r="A106" s="452" t="s">
        <v>763</v>
      </c>
      <c r="B106" s="453"/>
      <c r="C106" s="454"/>
      <c r="D106" s="176"/>
      <c r="E106" s="176"/>
      <c r="F106" s="176"/>
      <c r="G106" s="176"/>
      <c r="H106" s="177"/>
      <c r="I106" s="177"/>
      <c r="J106" s="176"/>
      <c r="K106" s="455">
        <f>SUBTOTAL(109,Tableau13[Coût HT])</f>
        <v>3452666.666666667</v>
      </c>
      <c r="L106" s="456"/>
      <c r="M106" s="455">
        <f>SUBTOTAL(109,Tableau13[Coût TTC])</f>
        <v>4012400</v>
      </c>
      <c r="N106" s="178">
        <f>SUBTOTAL(109,Tableau13[Base de financement])</f>
        <v>3452667</v>
      </c>
      <c r="O106" s="455">
        <f>SUBTOTAL(109,Tableau13[Subvention ANRU])</f>
        <v>1447000</v>
      </c>
      <c r="P106" s="456"/>
      <c r="Q106" s="176"/>
      <c r="R106" s="457"/>
      <c r="S106" s="176"/>
      <c r="T106" s="458">
        <f>SUBTOTAL(109,Tableau13[Plaine Commune])</f>
        <v>1537750</v>
      </c>
      <c r="U106" s="176"/>
      <c r="V106" s="455">
        <f>SUBTOTAL(109,Tableau13[Bailleurs])</f>
        <v>199583.33333333331</v>
      </c>
      <c r="W106" s="455">
        <f>SUBTOTAL(109,Tableau13[LOGIREP])</f>
        <v>5250</v>
      </c>
      <c r="X106" s="455">
        <f>SUBTOTAL(109,Tableau13[SOHP])</f>
        <v>35621</v>
      </c>
      <c r="Y106" s="455">
        <f>SUBTOTAL(109,Tableau13[SEMISO])</f>
        <v>1536</v>
      </c>
      <c r="Z106" s="455">
        <f>SUBTOTAL(109,Tableau13[OPH93])</f>
        <v>41250</v>
      </c>
      <c r="AA106" s="455">
        <f>SUBTOTAL(109,Tableau13[PCH])</f>
        <v>43966</v>
      </c>
      <c r="AB106" s="455">
        <f>SUBTOTAL(109,Tableau13[ICF la Sablière])</f>
        <v>5906</v>
      </c>
      <c r="AC106" s="455">
        <f>SUBTOTAL(109,Tableau13[SARVILEP])</f>
        <v>7160</v>
      </c>
      <c r="AD106" s="455">
        <f>SUBTOTAL(109,Tableau13[OPIEVOY])</f>
        <v>1306</v>
      </c>
      <c r="AE106" s="455">
        <f>SUBTOTAL(109,Tableau13[SAIEM])</f>
        <v>854</v>
      </c>
      <c r="AF106" s="455">
        <f>SUBTOTAL(109,Tableau13[Maison du CIL])</f>
        <v>1601</v>
      </c>
      <c r="AG106" s="455">
        <f>SUBTOTAL(109,Tableau13[NOVIGERE])</f>
        <v>579</v>
      </c>
      <c r="AH106" s="455">
        <f>SUBTOTAL(109,Tableau13[Logement Francilien])</f>
        <v>2867</v>
      </c>
      <c r="AI106" s="455">
        <f>SUBTOTAL(109,Tableau13[ANTIN])</f>
        <v>5969</v>
      </c>
      <c r="AJ106" s="455">
        <f>SUBTOTAL(109,Tableau13[OGIF])</f>
        <v>18344</v>
      </c>
      <c r="AK106" s="455">
        <f>SUBTOTAL(109,Tableau13[Toit et Joie])</f>
        <v>2375</v>
      </c>
      <c r="AL106" s="455">
        <f>SUBTOTAL(109,Tableau13[France Habitation])</f>
        <v>15000</v>
      </c>
      <c r="AM106" s="421">
        <f>SUBTOTAL(109,Tableau13[%3])</f>
        <v>7.0000000000000009</v>
      </c>
      <c r="AN106" s="455">
        <f>SUBTOTAL(109,Tableau13[CDC])</f>
        <v>251833</v>
      </c>
      <c r="AO106" s="176"/>
      <c r="AP106" s="457"/>
      <c r="AQ106" s="176"/>
      <c r="AR106" s="457"/>
      <c r="AS106" s="176"/>
      <c r="AT106" s="457"/>
      <c r="AU106" s="176"/>
      <c r="AV106" s="456"/>
      <c r="AW106" s="176"/>
      <c r="AX106" s="176"/>
      <c r="AY106" s="176"/>
      <c r="AZ106" s="176"/>
      <c r="BA106" s="176"/>
      <c r="EF106" s="163"/>
      <c r="ET106" s="164"/>
    </row>
    <row r="107" spans="1:150" x14ac:dyDescent="0.25">
      <c r="K107" s="182"/>
      <c r="L107" s="183"/>
      <c r="M107" s="184"/>
      <c r="N107" s="182"/>
      <c r="O107" s="170"/>
      <c r="P107" s="185"/>
      <c r="Q107" s="182"/>
      <c r="R107" s="182"/>
      <c r="S107" s="185"/>
      <c r="T107" s="182"/>
      <c r="U107" s="182"/>
      <c r="V107" s="182"/>
      <c r="W107" s="182">
        <f>SUM(Tableau13[[#Totals],[LOGIREP]:[France Habitation]])</f>
        <v>189584</v>
      </c>
      <c r="X107" s="182"/>
      <c r="Y107" s="182"/>
      <c r="Z107" s="182"/>
      <c r="AA107" s="182"/>
      <c r="AB107" s="182"/>
      <c r="AC107" s="182"/>
      <c r="AD107" s="182"/>
      <c r="AE107" s="182"/>
      <c r="AF107" s="182"/>
      <c r="AG107" s="182"/>
      <c r="AH107" s="182"/>
      <c r="AI107" s="182"/>
      <c r="AJ107" s="182"/>
      <c r="AK107" s="182"/>
      <c r="AL107" s="182"/>
      <c r="AM107" s="182"/>
      <c r="AN107" s="183"/>
      <c r="AO107" s="182"/>
      <c r="AP107" s="182"/>
      <c r="AQ107" s="182"/>
      <c r="AR107" s="182"/>
      <c r="AS107" s="182"/>
      <c r="AT107" s="182"/>
      <c r="AU107" s="182"/>
      <c r="AV107" s="182"/>
      <c r="AW107" s="186"/>
      <c r="AX107" s="186"/>
    </row>
    <row r="108" spans="1:150" x14ac:dyDescent="0.25">
      <c r="K108" s="182"/>
      <c r="L108" s="183"/>
      <c r="M108" s="184"/>
      <c r="N108" s="182"/>
      <c r="O108" s="170"/>
      <c r="P108" s="185"/>
      <c r="Q108" s="182"/>
      <c r="R108" s="182"/>
      <c r="S108" s="185"/>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3"/>
      <c r="AO108" s="182"/>
      <c r="AP108" s="182"/>
      <c r="AQ108" s="182"/>
      <c r="AR108" s="182"/>
      <c r="AS108" s="182"/>
      <c r="AT108" s="182"/>
      <c r="AU108" s="182"/>
      <c r="AV108" s="182"/>
      <c r="AW108" s="186"/>
      <c r="AX108" s="186"/>
    </row>
    <row r="109" spans="1:150" x14ac:dyDescent="0.25">
      <c r="K109" s="182"/>
      <c r="L109" s="183"/>
      <c r="M109" s="184"/>
      <c r="N109" s="182"/>
      <c r="O109" s="170"/>
      <c r="P109" s="188"/>
      <c r="Q109" s="186"/>
      <c r="R109" s="186"/>
      <c r="S109" s="186"/>
      <c r="T109" s="182"/>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row>
    <row r="110" spans="1:150" x14ac:dyDescent="0.25">
      <c r="K110" s="186"/>
      <c r="L110" s="186"/>
      <c r="M110" s="186"/>
      <c r="N110" s="186"/>
      <c r="O110" s="186"/>
      <c r="P110" s="186"/>
      <c r="Q110" s="186"/>
      <c r="R110" s="187"/>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row>
    <row r="111" spans="1:150" x14ac:dyDescent="0.25">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7"/>
      <c r="AT111" s="187"/>
      <c r="AU111" s="187"/>
      <c r="AV111" s="187"/>
      <c r="AW111" s="186"/>
      <c r="AX111" s="186"/>
    </row>
    <row r="112" spans="1:150" x14ac:dyDescent="0.25">
      <c r="K112" s="187"/>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row>
    <row r="113" spans="11:50" x14ac:dyDescent="0.25">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row>
    <row r="115" spans="11:50" x14ac:dyDescent="0.25">
      <c r="K115" s="189"/>
    </row>
  </sheetData>
  <pageMargins left="0.23622047244094491" right="0.23622047244094491" top="0.74803149606299213" bottom="0.74803149606299213" header="0.31496062992125984" footer="0.31496062992125984"/>
  <pageSetup paperSize="8" scale="2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récap pour vérification CE</vt:lpstr>
      <vt:lpstr>Etudes générales</vt:lpstr>
      <vt:lpstr>Etudes_spécifiques</vt:lpstr>
      <vt:lpstr>E.Générales détaillées Pl-co</vt:lpstr>
      <vt:lpstr>Etudes_spécifiques</vt:lpstr>
      <vt:lpstr>'E.Générales détaillées Pl-co'!Impression_des_titres</vt:lpstr>
      <vt:lpstr>Etudes_spécifiques!Impression_des_titres</vt:lpstr>
      <vt:lpstr>'E.Générales détaillées Pl-co'!Zone_d_impression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 ECHASSERIEAU</dc:creator>
  <cp:lastModifiedBy>Mathilde BEHHAR</cp:lastModifiedBy>
  <cp:lastPrinted>2016-07-06T16:02:21Z</cp:lastPrinted>
  <dcterms:created xsi:type="dcterms:W3CDTF">2016-05-26T13:16:51Z</dcterms:created>
  <dcterms:modified xsi:type="dcterms:W3CDTF">2016-08-10T15:36:41Z</dcterms:modified>
</cp:coreProperties>
</file>